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7440" windowHeight="501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<sst xmlns="http://schemas.openxmlformats.org/spreadsheetml/2006/main" count="13658" uniqueCount="5652">
  <si>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</si>
  <si>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</si>
  <si>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</si>
  <si>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</si>
  <si>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</si>
  <si>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</si>
  <si>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</si>
  <si>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</si>
  <si>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</si>
  <si>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</si>
  <si>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</si>
  <si>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</si>
  <si>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</si>
  <si>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</si>
  <si>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</si>
  <si>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</si>
  <si>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</si>
  <si>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</si>
  <si>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</si>
  <si>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</si>
  <si>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</si>
  <si>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</si>
  <si>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</si>
  <si>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</si>
  <si>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</si>
  <si>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</si>
  <si>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</si>
  <si>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</si>
  <si>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</si>
  <si>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</si>
  <si>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</si>
  <si>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</si>
  <si>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</si>
  <si>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</si>
  <si>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</si>
  <si>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</si>
  <si>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</si>
  <si>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</si>
  <si>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</si>
  <si>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</si>
  <si>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</si>
  <si>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</si>
  <si>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</si>
  <si>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</si>
  <si>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</si>
  <si>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</si>
  <si>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</si>
  <si>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</si>
  <si>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</si>
  <si>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</si>
  <si>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</si>
  <si>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</si>
  <si>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</si>
  <si>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</si>
  <si>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</si>
  <si>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</si>
  <si>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</si>
  <si>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</si>
  <si>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</si>
  <si>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</si>
  <si>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</si>
  <si>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</si>
  <si>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</si>
  <si>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</si>
  <si>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</si>
  <si>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</si>
  <si>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</si>
  <si>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</si>
  <si>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</si>
  <si>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</si>
  <si>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</si>
  <si>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</si>
  <si>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</si>
  <si>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</si>
  <si>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</si>
  <si>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</si>
  <si>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</si>
  <si>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</si>
  <si>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</si>
  <si>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</si>
  <si>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</si>
  <si>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</si>
  <si>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</si>
  <si>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</si>
  <si>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</si>
  <si>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</si>
  <si>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</si>
  <si>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</si>
  <si>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</si>
  <si>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</si>
  <si>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</si>
  <si>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</si>
  <si>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</si>
  <si>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</si>
  <si>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</si>
  <si>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</si>
  <si>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</si>
  <si>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</si>
  <si>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</si>
  <si>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</si>
  <si>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</si>
  <si>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</si>
  <si>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</si>
  <si>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</si>
  <si>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</si>
  <si>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</si>
  <si>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</si>
  <si>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</si>
  <si>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</si>
  <si>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</si>
  <si>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</si>
  <si>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</si>
  <si>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</si>
  <si>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</si>
  <si>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</si>
  <si>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</si>
  <si>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</si>
  <si>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</si>
  <si>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</si>
  <si>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</si>
  <si>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</si>
  <si>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</si>
  <si>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</si>
  <si>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</si>
  <si>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</si>
  <si>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</si>
  <si>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</si>
  <si>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</si>
  <si>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</si>
  <si>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</si>
  <si>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</si>
  <si>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</si>
  <si>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</si>
  <si>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</si>
  <si>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</si>
  <si>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</si>
  <si>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</si>
  <si>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</si>
  <si>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</si>
  <si>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</si>
  <si>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</si>
  <si>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</si>
  <si>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</si>
  <si>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</si>
  <si>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</si>
  <si>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</si>
  <si>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</si>
  <si>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</si>
  <si>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</si>
  <si>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</si>
  <si>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</si>
  <si>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</si>
  <si>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</si>
  <si>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</si>
  <si>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</si>
  <si>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</si>
  <si>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</si>
  <si>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</si>
  <si>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</si>
  <si>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</si>
  <si>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</si>
  <si>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</si>
  <si>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</si>
  <si>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</si>
  <si>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</si>
  <si>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</si>
  <si>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</si>
  <si>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</si>
  <si>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</si>
  <si>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</si>
  <si>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</si>
  <si>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</si>
  <si>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</si>
  <si>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</si>
  <si>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</si>
  <si>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</si>
  <si>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</si>
  <si>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</si>
  <si>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moFVMo6_xi0</t>
  </si>
  <si>
    <t>cYYox-ezyG4</t>
  </si>
  <si>
    <t>xNyvhqrqbmo</t>
  </si>
  <si>
    <t>r8ZxXoe9Za4</t>
  </si>
  <si>
    <t>6p4lUSnw9d4</t>
  </si>
  <si>
    <t>IIhs0ptDqsE</t>
  </si>
  <si>
    <t>802p3mbyyD8</t>
  </si>
  <si>
    <t>F5fU7NnBTZQ</t>
  </si>
  <si>
    <t>ike19QZXIoU</t>
  </si>
  <si>
    <t>pnCKotgm7ik</t>
  </si>
  <si>
    <t>7VsmO-5TEC0</t>
  </si>
  <si>
    <t>zT_lVyPWxvg</t>
  </si>
  <si>
    <t>SxcCka_b0vA</t>
  </si>
  <si>
    <t>XvSKgGTW5Dg</t>
  </si>
  <si>
    <t>ERd5LD2O4zs</t>
  </si>
  <si>
    <t>Eehz0RWUY_Y</t>
  </si>
  <si>
    <t>Vb-FWqGNzjo</t>
  </si>
  <si>
    <t>mJdaSD76RUQ</t>
  </si>
  <si>
    <t>GHNkqZ6I_Cc</t>
  </si>
  <si>
    <t>nIne3F5RMTw</t>
  </si>
  <si>
    <t>vosLDflCNMY</t>
  </si>
  <si>
    <t>H6B6qNuVhUU</t>
  </si>
  <si>
    <t>c_g9j2gNUYw</t>
  </si>
  <si>
    <t>pc_7DHxvupA</t>
  </si>
  <si>
    <t>MYcRtgWrOqM</t>
  </si>
  <si>
    <t>uOiqdqVMZVA</t>
  </si>
  <si>
    <t>Ec0rX1u-xbA</t>
  </si>
  <si>
    <t>SWIFtmg_-4k</t>
  </si>
  <si>
    <t>s1ZtLJlVi8E</t>
  </si>
  <si>
    <t>PIHzj2xpKrc</t>
  </si>
  <si>
    <t>v1GoNzwye5w</t>
  </si>
  <si>
    <t>sUFGVeKNyzo</t>
  </si>
  <si>
    <t>m-EFrmQZzZY</t>
  </si>
  <si>
    <t>KQJUT0fo1YY</t>
  </si>
  <si>
    <t>EXDjgb6vNdA</t>
  </si>
  <si>
    <t>niSKia3KEbM</t>
  </si>
  <si>
    <t>9Kq2Y8kWsJI</t>
  </si>
  <si>
    <t>z436iOgX1io</t>
  </si>
  <si>
    <t>CNLDTWUrXis</t>
  </si>
  <si>
    <t>jz9zwrDfkvw</t>
  </si>
  <si>
    <t>Cv-mAMQJzVU</t>
  </si>
  <si>
    <t>CJ0LPxAfbjs</t>
  </si>
  <si>
    <t>WWtDDSTAa-s</t>
  </si>
  <si>
    <t>OKdDK09mRRw</t>
  </si>
  <si>
    <t>n9Yf6LGcWS4</t>
  </si>
  <si>
    <t>N_PieDGcG40</t>
  </si>
  <si>
    <t>7WRPHISBUJA</t>
  </si>
  <si>
    <t>gtcO_ZILUKk</t>
  </si>
  <si>
    <t>7BDab9pLbEA</t>
  </si>
  <si>
    <t>WZhNmWwb5p8</t>
  </si>
  <si>
    <t>6vdLLfCzMDI</t>
  </si>
  <si>
    <t>6_qbmQ6Y090</t>
  </si>
  <si>
    <t>ho8mJ78Zz3Y</t>
  </si>
  <si>
    <t>2lBFoxLvYHs</t>
  </si>
  <si>
    <t>E7U6LiYHpnY</t>
  </si>
  <si>
    <t>gSVEE0JIbRs</t>
  </si>
  <si>
    <t>rzi_iXUTuXY</t>
  </si>
  <si>
    <t>ADvzDvzIVIQ</t>
  </si>
  <si>
    <t>5VYb3B1ETlk</t>
  </si>
  <si>
    <t>ZwzHCOfqCb8</t>
  </si>
  <si>
    <t>nmjI3XEVSuc</t>
  </si>
  <si>
    <t>uBW70d6034E</t>
  </si>
  <si>
    <t>n1EKLSrMU0I</t>
  </si>
  <si>
    <t>CpOG3BzirOs</t>
  </si>
  <si>
    <t>N2eBBXj0a-E</t>
  </si>
  <si>
    <t>Dj-3C8XoBGk</t>
  </si>
  <si>
    <t>wb9kFE6iksQ</t>
  </si>
  <si>
    <t>yYiCFvwIAFg</t>
  </si>
  <si>
    <t>l0dMcL7pJto</t>
  </si>
  <si>
    <t>10lGa2f8-BU</t>
  </si>
  <si>
    <t>p81ZI76psl8</t>
  </si>
  <si>
    <t>TyeyiuwNoRI</t>
  </si>
  <si>
    <t>rjh57ByICNs</t>
  </si>
  <si>
    <t>qPppRApS2YI</t>
  </si>
  <si>
    <t>NQFMArcQI5o</t>
  </si>
  <si>
    <t>dLlYBGrn7Gs</t>
  </si>
  <si>
    <t>RlJzZA5HNbk</t>
  </si>
  <si>
    <t>PjZHL3QKpxU</t>
  </si>
  <si>
    <t>cAKe04bD8GM</t>
  </si>
  <si>
    <t>pquMSXnWaUw</t>
  </si>
  <si>
    <t>DHhq_ExrUcE</t>
  </si>
  <si>
    <t>92u6ibginyk</t>
  </si>
  <si>
    <t>v0CBmDL7EFU</t>
  </si>
  <si>
    <t>PcBH40LSN9o</t>
  </si>
  <si>
    <t>KLa1VFkAIAY</t>
  </si>
  <si>
    <t>ce6UaS4XMRY</t>
  </si>
  <si>
    <t>AETFvQonfV8</t>
  </si>
  <si>
    <t>miHHFKSomSU</t>
  </si>
  <si>
    <t>pL4EGVugHSk</t>
  </si>
  <si>
    <t>j6St77SM9j4</t>
  </si>
  <si>
    <t>Yc8VzB3rao8</t>
  </si>
  <si>
    <t>lDToOe8pVzY</t>
  </si>
  <si>
    <t>9A8bVdiWeQc</t>
  </si>
  <si>
    <t>z5y2BMxrAqw</t>
  </si>
  <si>
    <t>zhamxkmgpgM</t>
  </si>
  <si>
    <t>hHAIu_qHj20</t>
  </si>
  <si>
    <t>yQ_2grLk64Y</t>
  </si>
  <si>
    <t>MyEQ_X_aCss</t>
  </si>
  <si>
    <t>359CMVqVAiA</t>
  </si>
  <si>
    <t>7wRlzBc7SPM</t>
  </si>
  <si>
    <t>rXaoyIUeIYI</t>
  </si>
  <si>
    <t>9QeTJIZHrV8</t>
  </si>
  <si>
    <t>j42Z5dmBbdY</t>
  </si>
  <si>
    <t>MyrXW4XHI1c</t>
  </si>
  <si>
    <t>rW3f_Y7v3gY</t>
  </si>
  <si>
    <t>PEylnykeRwA</t>
  </si>
  <si>
    <t>oOIYlqIEe14</t>
  </si>
  <si>
    <t>UF7I64LBk2A</t>
  </si>
  <si>
    <t>hv70NDaCr3g</t>
  </si>
  <si>
    <t>Xk3NI9JRGf4</t>
  </si>
  <si>
    <t>sA1VUoQ1qbc</t>
  </si>
  <si>
    <t>gNZLt-dF9Jk</t>
  </si>
  <si>
    <t>gG8icHfUcQI</t>
  </si>
  <si>
    <t>LsrI-wK-UgE</t>
  </si>
  <si>
    <t>SzAuIWVoA2Y</t>
  </si>
  <si>
    <t>EIkON56HUf8</t>
  </si>
  <si>
    <t>0-SyhRB8i_4</t>
  </si>
  <si>
    <t>sDl1GpOP_ls</t>
  </si>
  <si>
    <t>w16HReGv7Ek</t>
  </si>
  <si>
    <t>MchCUkLuMTM</t>
  </si>
  <si>
    <t>rOfyq4DGuYI</t>
  </si>
  <si>
    <t>x87cv3WSDCE</t>
  </si>
  <si>
    <t>JQmESBH84JM</t>
  </si>
  <si>
    <t>Egm0KjdBDCs</t>
  </si>
  <si>
    <t>CfwI4LCLywA</t>
  </si>
  <si>
    <t>N-SFzYA5_XA</t>
  </si>
  <si>
    <t>fYUxOuWp4Q0</t>
  </si>
  <si>
    <t>8egWkjYRoOs</t>
  </si>
  <si>
    <t>DzkJ40-GP74</t>
  </si>
  <si>
    <t>JQTIDZBzRB0</t>
  </si>
  <si>
    <t>9Muw9PgpzZo</t>
  </si>
  <si>
    <t>YroBj5tCKXc</t>
  </si>
  <si>
    <t>xLJj8jOsAHQ</t>
  </si>
  <si>
    <t>RuQe92qUUYo</t>
  </si>
  <si>
    <t>KCMISpgtxoU</t>
  </si>
  <si>
    <t>q3heieIo8wU</t>
  </si>
  <si>
    <t>5DC7Nr4LTp8</t>
  </si>
  <si>
    <t>4372QYiPZB4</t>
  </si>
  <si>
    <t>z53JjZL5WsI</t>
  </si>
  <si>
    <t>3oNQpM8Twh8</t>
  </si>
  <si>
    <t>3Gc62cZgABA</t>
  </si>
  <si>
    <t>OJDZsM_VZu4</t>
  </si>
  <si>
    <t>X4I_S6ecI58</t>
  </si>
  <si>
    <t>cyLaZDLcGAg</t>
  </si>
  <si>
    <t>DqHplI-1w-c</t>
  </si>
  <si>
    <t>2b9_AKEYNmg</t>
  </si>
  <si>
    <t>nHQP3SS8LGc</t>
  </si>
  <si>
    <t>dylyBPFFED8</t>
  </si>
  <si>
    <t>lf3FzLwjthQ</t>
  </si>
  <si>
    <t>SfQbDQgct6c</t>
  </si>
  <si>
    <t>saXlzzjK6rE</t>
  </si>
  <si>
    <t>8Hch9o3hHCE</t>
  </si>
  <si>
    <t>DNVkJ120THc</t>
  </si>
  <si>
    <t>9Nlf-XB0WEI</t>
  </si>
  <si>
    <t>HqHeQNLOPHM</t>
  </si>
  <si>
    <t>9PfVxD3BRfw</t>
  </si>
  <si>
    <t>-Prv9pREa3A</t>
  </si>
  <si>
    <t>kcVBH3s7Wys</t>
  </si>
  <si>
    <t>RONcZkxFp6c</t>
  </si>
  <si>
    <t>3pItaCJ5m_k</t>
  </si>
  <si>
    <t>UgAvfNena1Y</t>
  </si>
  <si>
    <t>nmlre4H5iX4</t>
  </si>
  <si>
    <t>6p_1uZarJ4o</t>
  </si>
  <si>
    <t>ShOffs310nk</t>
  </si>
  <si>
    <t>6pH_NSWy5L4</t>
  </si>
  <si>
    <t>HqElgdEn_Hc</t>
  </si>
  <si>
    <t>HInaNsBHJ_Y</t>
  </si>
  <si>
    <t>Y3demSqio0E</t>
  </si>
  <si>
    <t>tC6riRQ14_A</t>
  </si>
  <si>
    <t>Dp8EroWFo4U</t>
  </si>
  <si>
    <t>WKCoY_3q38M</t>
  </si>
  <si>
    <t>_agr--4S698</t>
  </si>
  <si>
    <t>zeRYWiRQWvU</t>
  </si>
  <si>
    <t>EMWO51hDdAw</t>
  </si>
  <si>
    <t>lnF1o6yDWGk</t>
  </si>
  <si>
    <t>1wr_cdLEXIE</t>
  </si>
  <si>
    <t>CpF0VdECUQQ</t>
  </si>
  <si>
    <t>7iHONpg4R88</t>
  </si>
  <si>
    <t>KRzZOAu9kVs</t>
  </si>
  <si>
    <t>pTcn_XVRVIo</t>
  </si>
  <si>
    <t>MmwMrF2tiLM</t>
  </si>
  <si>
    <t>arVJAIGd5VU</t>
  </si>
  <si>
    <t>H3lWwuahjUw</t>
  </si>
  <si>
    <t>ud23k5fri6U</t>
  </si>
  <si>
    <t>XeuixxoNaKs</t>
  </si>
  <si>
    <t>cGHb40jjAwQ</t>
  </si>
  <si>
    <t>876VQtyRnb8</t>
  </si>
  <si>
    <t>UzIybb6Rz8U</t>
  </si>
  <si>
    <t>9XRDw4E1l-E</t>
  </si>
  <si>
    <t>9O03tQFcxI8</t>
  </si>
  <si>
    <t>tHCQf2FeHeQ</t>
  </si>
  <si>
    <t>od04ajy0nQc</t>
  </si>
  <si>
    <t>c4usQN2gmiY</t>
  </si>
  <si>
    <t>BgHrmfBzvgs</t>
  </si>
  <si>
    <t>zZ0s-hAcXO8</t>
  </si>
  <si>
    <t>v3q3I-Q87JM</t>
  </si>
  <si>
    <t>WgC4kHH3CFc</t>
  </si>
  <si>
    <t>MpIYlplJY4I</t>
  </si>
  <si>
    <t>h_tUUe4Myh4</t>
  </si>
  <si>
    <t>g_gGmDY_StA</t>
  </si>
  <si>
    <t>XV3Ar7oefH8</t>
  </si>
  <si>
    <t>bLQxy51vEhE</t>
  </si>
  <si>
    <t>0I_E8Zb1Uc0</t>
  </si>
  <si>
    <t>bU0HnoyX4jg</t>
  </si>
  <si>
    <t>R7iajtdi0FQ</t>
  </si>
  <si>
    <t>Rdf96ELU7P8</t>
  </si>
  <si>
    <t>jIInPHtSQ78</t>
  </si>
  <si>
    <t>vUmDpPt2sTM</t>
  </si>
  <si>
    <t>KaDND1zR2Yk</t>
  </si>
  <si>
    <t>hKcgSgQD9xA</t>
  </si>
  <si>
    <t>ZqQr4684rJM</t>
  </si>
  <si>
    <t>cz7AGQ8H9hE</t>
  </si>
  <si>
    <t>4hxgdaLWbMQ</t>
  </si>
  <si>
    <t>lo6xTUDWqbg</t>
  </si>
  <si>
    <t>pwimJs-zdOI</t>
  </si>
  <si>
    <t>awjP4imRNIc</t>
  </si>
  <si>
    <t>zrNx-7Rw7Xw</t>
  </si>
  <si>
    <t>qNjAcEFJ-KA</t>
  </si>
  <si>
    <t>DXMBVYQ91HU</t>
  </si>
  <si>
    <t>84QWQONwamI</t>
  </si>
  <si>
    <t>Jm4hfF7fHH8</t>
  </si>
  <si>
    <t>TsI1Y5OylqM</t>
  </si>
  <si>
    <t>ogOpzn7pm5E</t>
  </si>
  <si>
    <t>X-Y9sNo52uk</t>
  </si>
  <si>
    <t>SQ9wNWG6Bww</t>
  </si>
  <si>
    <t>LsDVERCW2Xw</t>
  </si>
  <si>
    <t>VyBoXSBbCKw</t>
  </si>
  <si>
    <t>LUx-XROM3eY</t>
  </si>
  <si>
    <t>C1Qy9p5JpOI</t>
  </si>
  <si>
    <t>2Anh-qEBb3A</t>
  </si>
  <si>
    <t>1RLkzek_yNY</t>
  </si>
  <si>
    <t>R1727rcXtNs</t>
  </si>
  <si>
    <t>eTfAd9p0Gu4</t>
  </si>
  <si>
    <t>gWJaLxMvNDA</t>
  </si>
  <si>
    <t>mI4alxwAltc</t>
  </si>
  <si>
    <t>M8vP5H4J2z4</t>
  </si>
  <si>
    <t>nQV25GfzDdM</t>
  </si>
  <si>
    <t>JoeXoIGSDHQ</t>
  </si>
  <si>
    <t>Czz3jNKQzIY</t>
  </si>
  <si>
    <t>cvbpOa9ZZZA</t>
  </si>
  <si>
    <t>Hx8V7RSKaYM</t>
  </si>
  <si>
    <t>gR9JRur9hM0</t>
  </si>
  <si>
    <t>0twYxyX7bgU</t>
  </si>
  <si>
    <t>VcjxcFqi8U4</t>
  </si>
  <si>
    <t>yjl07dEtRAU</t>
  </si>
  <si>
    <t>VzXnkEfgv1c</t>
  </si>
  <si>
    <t>gJf1mnOKYxA</t>
  </si>
  <si>
    <t>D82bNBS0gPE</t>
  </si>
  <si>
    <t>10_0nVuXZqo</t>
  </si>
  <si>
    <t>-rux9lPjBME</t>
  </si>
  <si>
    <t>Priiw_mv_Bs</t>
  </si>
  <si>
    <t>MoNxNbMYnE4</t>
  </si>
  <si>
    <t>1POckR_yVA4</t>
  </si>
  <si>
    <t>LLSjgvsMuAA</t>
  </si>
  <si>
    <t>HI2ykGnTjDw</t>
  </si>
  <si>
    <t>9aKdUiptkKs</t>
  </si>
  <si>
    <t>bOAH3MPZe4Y</t>
  </si>
  <si>
    <t>Hn7gQxddbTI</t>
  </si>
  <si>
    <t>zaahO4WGFSY</t>
  </si>
  <si>
    <t>OWsKneHJ_8I</t>
  </si>
  <si>
    <t>rM4296sniUY</t>
  </si>
  <si>
    <t>Lg2D0fZqbO8</t>
  </si>
  <si>
    <t>vvFHc6ISbF0</t>
  </si>
  <si>
    <t>92FLgvqTzyg</t>
  </si>
  <si>
    <t>30KJeeOa5WY</t>
  </si>
  <si>
    <t>l0s6ZLkV-U0</t>
  </si>
  <si>
    <t>m6sY-JBLOu0</t>
  </si>
  <si>
    <t>WcC4znsu2Ac</t>
  </si>
  <si>
    <t>qYR1_axf3fE</t>
  </si>
  <si>
    <t>d9-Md7GppLI</t>
  </si>
  <si>
    <t>Usj5MBGkhKY</t>
  </si>
  <si>
    <t>zCTS9VIgc_I</t>
  </si>
  <si>
    <t>JIh3D0JVxYo</t>
  </si>
  <si>
    <t>I4qYbVi6r1o</t>
  </si>
  <si>
    <t>UfInRKGVVqg</t>
  </si>
  <si>
    <t>rK8S0ujlgaA</t>
  </si>
  <si>
    <t>yE9p73J2RFw</t>
  </si>
  <si>
    <t>GsBcLq8wcZU</t>
  </si>
  <si>
    <t>tiXVoIP4hsE</t>
  </si>
  <si>
    <t>h2oFquv96O8</t>
  </si>
  <si>
    <t>CA3DxF1Og18</t>
  </si>
  <si>
    <t>sSyppHJWXps</t>
  </si>
  <si>
    <t>thqUPivFjr4</t>
  </si>
  <si>
    <t>uNDoT9mchiU</t>
  </si>
  <si>
    <t>LyporZY8IT4</t>
  </si>
  <si>
    <t>fboeUXoAJIA</t>
  </si>
  <si>
    <t>VvbfTWR3EGs</t>
  </si>
  <si>
    <t>4CHav0-1E6k</t>
  </si>
  <si>
    <t>rg0v7cJvOmM</t>
  </si>
  <si>
    <t>-YpCocmWxPA</t>
  </si>
  <si>
    <t>pRoQA3yld3E</t>
  </si>
  <si>
    <t>7Jl7gs67L5k</t>
  </si>
  <si>
    <t>LcNWYNp2MSw</t>
  </si>
  <si>
    <t>wMXYbA3OnrA</t>
  </si>
  <si>
    <t>cdpqAtjcm1s</t>
  </si>
  <si>
    <t>n29P0Q11PRQ</t>
  </si>
  <si>
    <t>ZVCBBgT3Xfc</t>
  </si>
  <si>
    <t>tyAt8B4Kppg</t>
  </si>
  <si>
    <t>ygOBFJzJmtU</t>
  </si>
  <si>
    <t>60T5GbNfW-g</t>
  </si>
  <si>
    <t>oeIjPCWqTec</t>
  </si>
  <si>
    <t>w2J6yB1vMjA</t>
  </si>
  <si>
    <t>D14h2FbWd9Q</t>
  </si>
  <si>
    <t>Xv_mARWiju4</t>
  </si>
  <si>
    <t>hlSLzvbfm1g</t>
  </si>
  <si>
    <t>gYUSvebjYv4</t>
  </si>
  <si>
    <t>grx2Iw38GbM</t>
  </si>
  <si>
    <t>x3B1E3Cx3Ms</t>
  </si>
  <si>
    <t>RiFuO0PPvq4</t>
  </si>
  <si>
    <t>kae7pcukcjM</t>
  </si>
  <si>
    <t>ebOtXsBsjxY</t>
  </si>
  <si>
    <t>_W8xyDkf7Vg</t>
  </si>
  <si>
    <t>I3Sgs8kuQ4w</t>
  </si>
  <si>
    <t>JGMA4AwRmnQ</t>
  </si>
  <si>
    <t>5hxhykPyYwI</t>
  </si>
  <si>
    <t>hIaYfuR-4pM</t>
  </si>
  <si>
    <t>OUYgXH5jgP0</t>
  </si>
  <si>
    <t>DbxO6HzNZGY</t>
  </si>
  <si>
    <t>z8ZxGAf9g2M</t>
  </si>
  <si>
    <t>Ghq7SeSQFHc</t>
  </si>
  <si>
    <t>jC1zHosiSUE</t>
  </si>
  <si>
    <t>ehZ752LraaE</t>
  </si>
  <si>
    <t>SVilDx5hCFc</t>
  </si>
  <si>
    <t>HvXfYYOteOg</t>
  </si>
  <si>
    <t>rl0dO_QkR7c</t>
  </si>
  <si>
    <t>ZnUKjPs5_Xw</t>
  </si>
  <si>
    <t>Q2_7e7f9boI</t>
  </si>
  <si>
    <t>dOEyke437WA</t>
  </si>
  <si>
    <t>_VJpLFO8Ozs</t>
  </si>
  <si>
    <t>j9nXOrlcdLc</t>
  </si>
  <si>
    <t>OpalvFehNjY</t>
  </si>
  <si>
    <t>f81x6ioFkYM</t>
  </si>
  <si>
    <t>GJSdwD1c3iU</t>
  </si>
  <si>
    <t>KAdmLQVO1FE</t>
  </si>
  <si>
    <t>GfH_e1-rN9w</t>
  </si>
  <si>
    <t>Ak0kPh8qxWk</t>
  </si>
  <si>
    <t>2aARVkxEPvs</t>
  </si>
  <si>
    <t>O2EmurIh8c4</t>
  </si>
  <si>
    <t>qtFTK8_y4vw</t>
  </si>
  <si>
    <t>-xfFHhlrb4o</t>
  </si>
  <si>
    <t>hyZAxY4jacI</t>
  </si>
  <si>
    <t>SWZOGFeVbTs</t>
  </si>
  <si>
    <t>oknConcbAig</t>
  </si>
  <si>
    <t>0j_hmBgJQrk</t>
  </si>
  <si>
    <t>xA0pMB2eCz0</t>
  </si>
  <si>
    <t>fjCfQD0TYWE</t>
  </si>
  <si>
    <t>9MBvrFZol-Y</t>
  </si>
  <si>
    <t>ws60lMZiyVs</t>
  </si>
  <si>
    <t>4_amyK4RQrc</t>
  </si>
  <si>
    <t>znEfv3M1how</t>
  </si>
  <si>
    <t>VZ1ungMFvwc</t>
  </si>
  <si>
    <t>mtTOB4tFRSs</t>
  </si>
  <si>
    <t>Wf1LQkYSLsM</t>
  </si>
  <si>
    <t>4l0GN9EvyHs</t>
  </si>
  <si>
    <t>ROP3QtpCe-k</t>
  </si>
  <si>
    <t>GH-f-ovUFI4</t>
  </si>
  <si>
    <t>3d-jHz4Dvzg</t>
  </si>
  <si>
    <t>oLJrMCBKZZk</t>
  </si>
  <si>
    <t>HqgPz0eD2RM</t>
  </si>
  <si>
    <t>BYKK6Qo_gDg</t>
  </si>
  <si>
    <t>YFl4WacPmUQ</t>
  </si>
  <si>
    <t>evONhQbuid8</t>
  </si>
  <si>
    <t>y6z0Tq1a8fs</t>
  </si>
  <si>
    <t>RpwzjF-dmhs</t>
  </si>
  <si>
    <t>Y3M7dJVfE8M</t>
  </si>
  <si>
    <t>87yYng-6-8o</t>
  </si>
  <si>
    <t>qHyu44L7vOk</t>
  </si>
  <si>
    <t>sXYK6OHyrt4</t>
  </si>
  <si>
    <t>GUZUgIreqfU</t>
  </si>
  <si>
    <t>HAaKJ0Isbyc</t>
  </si>
  <si>
    <t>KNDGBeoHN8I</t>
  </si>
  <si>
    <t>TbcuehvXVks</t>
  </si>
  <si>
    <t>wz4kgxnq7Sc</t>
  </si>
  <si>
    <t>c0FutHL0FIk</t>
  </si>
  <si>
    <t>SKYWwLsuWQ8</t>
  </si>
  <si>
    <t>lLEXWPPTu2k</t>
  </si>
  <si>
    <t>9j2_DZAxcxM</t>
  </si>
  <si>
    <t>fb-IG5qlegk</t>
  </si>
  <si>
    <t>u-0M2Cb-jrw</t>
  </si>
  <si>
    <t>dIaW7bTzOBU</t>
  </si>
  <si>
    <t>Ba-o-iLyU94</t>
  </si>
  <si>
    <t>O6wDaSIVLVM</t>
  </si>
  <si>
    <t>QGWV83bQusk</t>
  </si>
  <si>
    <t>8HXHu6ZD_VA</t>
  </si>
  <si>
    <t>dz1yhZQzRLg</t>
  </si>
  <si>
    <t>76p4i7RTDIg</t>
  </si>
  <si>
    <t>vUtR6DVlvrU</t>
  </si>
  <si>
    <t>lKAlc2seNYg</t>
  </si>
  <si>
    <t>JWsdZYMdi6I</t>
  </si>
  <si>
    <t>Q8GRUsW8YHo</t>
  </si>
  <si>
    <t>p2tcNJozXPU</t>
  </si>
  <si>
    <t>ewYKKvRdE68</t>
  </si>
  <si>
    <t>LGtHu32jAac</t>
  </si>
  <si>
    <t>QuSihfeySqo</t>
  </si>
  <si>
    <t>wWxzipZaIkA</t>
  </si>
  <si>
    <t>7gC0Bq-K9ac</t>
  </si>
  <si>
    <t>7DX_v72vQYc</t>
  </si>
  <si>
    <t>ooZWLhf4JG8</t>
  </si>
  <si>
    <t>ycRz6iVQHTg</t>
  </si>
  <si>
    <t>WVEnhecsj3Y</t>
  </si>
  <si>
    <t>JG12lo9m5Ik</t>
  </si>
  <si>
    <t>OwOpUuMjpxk</t>
  </si>
  <si>
    <t>lqkwqVzxjw0</t>
  </si>
  <si>
    <t>YNOXSDIlFcI</t>
  </si>
  <si>
    <t>Dpo9Zh92vA4</t>
  </si>
  <si>
    <t>FiDYpJ3DINc</t>
  </si>
  <si>
    <t>tUJiBWWkTxI</t>
  </si>
  <si>
    <t>MB3L31-MmRg</t>
  </si>
  <si>
    <t>FCfsdRhHwC8</t>
  </si>
  <si>
    <t>BgJ9AGT11mw</t>
  </si>
  <si>
    <t>i2E0M7zt_yc</t>
  </si>
  <si>
    <t>BrqH4PVyYF4</t>
  </si>
  <si>
    <t>iA4HMggWSZk</t>
  </si>
  <si>
    <t>ldWCQPPwReQ</t>
  </si>
  <si>
    <t>0XpelfQFBzw</t>
  </si>
  <si>
    <t>AEiRa5xZaZw</t>
  </si>
  <si>
    <t>GGQMIHkdtmI</t>
  </si>
  <si>
    <t>vv3b_u56HKw</t>
  </si>
  <si>
    <t>NBpqx8UwE74</t>
  </si>
  <si>
    <t>n7VFGES718k</t>
  </si>
  <si>
    <t>Q3M3LopZCHk</t>
  </si>
  <si>
    <t>M6L2SZxEbhI</t>
  </si>
  <si>
    <t>PFW-p-JgFiw</t>
  </si>
  <si>
    <t>p5QwHKQy5Sw</t>
  </si>
  <si>
    <t>dzrGF9xYymI</t>
  </si>
  <si>
    <t>4XFpguuH40Q</t>
  </si>
  <si>
    <t>4FHWE6QOgQE</t>
  </si>
  <si>
    <t>0jjumkWX2q4</t>
  </si>
  <si>
    <t>yvXJJX1Jaow</t>
  </si>
  <si>
    <t>gk8Q6R_pFLI</t>
  </si>
  <si>
    <t>uMYnbFRgJaE</t>
  </si>
  <si>
    <t>5PJeCbZrPpw</t>
  </si>
  <si>
    <t>oOMS37iXcjA</t>
  </si>
  <si>
    <t>Q0fV5IGH0s4</t>
  </si>
  <si>
    <t>RpBe5yxN2yw</t>
  </si>
  <si>
    <t>ZxphDRif3yw</t>
  </si>
  <si>
    <t>kjC6dDKqsJE</t>
  </si>
  <si>
    <t>uuQ3XUAB5HU</t>
  </si>
  <si>
    <t>F3wW1Xyxrb8</t>
  </si>
  <si>
    <t>74CyHyk89z0</t>
  </si>
  <si>
    <t>oac9qcKVXlA</t>
  </si>
  <si>
    <t>DHuwwlFs8VI</t>
  </si>
  <si>
    <t>nQPP8th-Qik</t>
  </si>
  <si>
    <t>ymgNwyWm4N4</t>
  </si>
  <si>
    <t>1GNuFouNSUI</t>
  </si>
  <si>
    <t>VsaLUgGQLe4</t>
  </si>
  <si>
    <t>h2LACDXjImY</t>
  </si>
  <si>
    <t>EVSnPwlXt1Q</t>
  </si>
  <si>
    <t>Dp57snIAHiA</t>
  </si>
  <si>
    <t>hTFbNeBy9hw</t>
  </si>
  <si>
    <t>gf1Dqy7Y8T4</t>
  </si>
  <si>
    <t>Od6anUcv8q4</t>
  </si>
  <si>
    <t>rNmXiYY9iHA</t>
  </si>
  <si>
    <t>wdLiF09gxL4</t>
  </si>
  <si>
    <t>XcaW069_e_o</t>
  </si>
  <si>
    <t>STKJMrfvw2I</t>
  </si>
  <si>
    <t>2at84be_x7M</t>
  </si>
  <si>
    <t>Bu_fVQKTGOM</t>
  </si>
  <si>
    <t>h6dKUphvO0c</t>
  </si>
  <si>
    <t>ArAJdoxhKW4</t>
  </si>
  <si>
    <t>-x8DFRnJHm8</t>
  </si>
  <si>
    <t>t2GrmD2Lhe0</t>
  </si>
  <si>
    <t>SyLXlRowO5E</t>
  </si>
  <si>
    <t>seGR02W_6lg</t>
  </si>
  <si>
    <t>_LElWqXi7Ag</t>
  </si>
  <si>
    <t>XRuJESZvFrs</t>
  </si>
  <si>
    <t>fikSr6ff934</t>
  </si>
  <si>
    <t>CIdQcSsnFEw</t>
  </si>
  <si>
    <t>pZbOwjf7EjU</t>
  </si>
  <si>
    <t>Fc7OgjwhLMg</t>
  </si>
  <si>
    <t>oW6j0_Z65aE</t>
  </si>
  <si>
    <t>YwARqOcVfLE</t>
  </si>
  <si>
    <t>RsEuZcTt7a8</t>
  </si>
  <si>
    <t>kIAmJ_5Gdt4</t>
  </si>
  <si>
    <t>vswQ8XnnR0E</t>
  </si>
  <si>
    <t>puQbO1zZ0a8</t>
  </si>
  <si>
    <t>VXoUUtsNQqs</t>
  </si>
  <si>
    <t>z-jzFZHRVTw</t>
  </si>
  <si>
    <t>ZHbbPZ3bD5U</t>
  </si>
  <si>
    <t>oeUwAXzJQTI</t>
  </si>
  <si>
    <t>zEts1Y-JWG8</t>
  </si>
  <si>
    <t>83LmnuwbB6s</t>
  </si>
  <si>
    <t>QnLQxF_Y2uY</t>
  </si>
  <si>
    <t>EiFcRzpLcJg</t>
  </si>
  <si>
    <t>kVzUk8dYTQE</t>
  </si>
  <si>
    <t>K215MdQuXkk</t>
  </si>
  <si>
    <t>uek66Zol5Cw</t>
  </si>
  <si>
    <t>u1uun-nOjtg</t>
  </si>
  <si>
    <t>nCPLkeprI8s</t>
  </si>
  <si>
    <t>eKJoG7X30kY</t>
  </si>
  <si>
    <t>V_HOIsP-Ix8</t>
  </si>
  <si>
    <t>0_7E10oDj9M</t>
  </si>
  <si>
    <t>Igi0ijkeig4</t>
  </si>
  <si>
    <t>tYiHMYfmMgM</t>
  </si>
  <si>
    <t>O5CAprNl4G0</t>
  </si>
  <si>
    <t>8ZBc2McCjGo</t>
  </si>
  <si>
    <t>bwJkFXxi4NA</t>
  </si>
  <si>
    <t>kiODaEMVJQ8</t>
  </si>
  <si>
    <t>jAY-7GS9wg0</t>
  </si>
  <si>
    <t>epPrEGFvtYc</t>
  </si>
  <si>
    <t>yI4spHZjO98</t>
  </si>
  <si>
    <t>9vasrbZ-ez8</t>
  </si>
  <si>
    <t>foeMt2U8Vao</t>
  </si>
  <si>
    <t>gNjJsiWGKs8</t>
  </si>
  <si>
    <t>hQhypfqkVC4</t>
  </si>
  <si>
    <t>hhxqX1nnZMM</t>
  </si>
  <si>
    <t>lF7DV1_DPDg</t>
  </si>
  <si>
    <t>sPXhVKVEj_0</t>
  </si>
  <si>
    <t>De29P_jde1g</t>
  </si>
  <si>
    <t>AIxTo1PWdlc</t>
  </si>
  <si>
    <t>vSjzx4W_eN0</t>
  </si>
  <si>
    <t>coHi15p2XHA</t>
  </si>
  <si>
    <t>Flt1EJj_fIY</t>
  </si>
  <si>
    <t>s4Lbo97Ivdo</t>
  </si>
  <si>
    <t>EoWhVFpZPI0</t>
  </si>
  <si>
    <t>S63iByakctw</t>
  </si>
  <si>
    <t>OONk4vcyi0E</t>
  </si>
  <si>
    <t>iFpwzGJPMI8</t>
  </si>
  <si>
    <t>lTGxtYsyCSU</t>
  </si>
  <si>
    <t>lTkGurMwySE</t>
  </si>
  <si>
    <t>4Zn5k_F8ugs</t>
  </si>
  <si>
    <t>8TLQPj7sngc</t>
  </si>
  <si>
    <t>Fpg36anqIrw</t>
  </si>
  <si>
    <t>k3GjEr5ZRg8</t>
  </si>
  <si>
    <t>kNCY2VBvobE</t>
  </si>
  <si>
    <t>SwbQoekhRUM</t>
  </si>
  <si>
    <t>8Shndkrgc88</t>
  </si>
  <si>
    <t>tZdCk870zZ4</t>
  </si>
  <si>
    <t>nwIEnb_0lBM</t>
  </si>
  <si>
    <t>OYjfNAalCY4</t>
  </si>
  <si>
    <t>n5giv8cYxVI</t>
  </si>
  <si>
    <t>Et1v8EQP10U</t>
  </si>
  <si>
    <t>A6k82xAK5ns</t>
  </si>
  <si>
    <t>8aHgmT8rsWA</t>
  </si>
  <si>
    <t>oKKkFrvndWQ</t>
  </si>
  <si>
    <t>RKK7wGAYP6k</t>
  </si>
  <si>
    <t>fef2tFoNjSk</t>
  </si>
  <si>
    <t>6wDamw_tzDE</t>
  </si>
  <si>
    <t>dU8H91f11ow</t>
  </si>
  <si>
    <t>LDW2EiJF8mY</t>
  </si>
  <si>
    <t>hmKn7XcqqCM</t>
  </si>
  <si>
    <t>HrDKKFdSzP4</t>
  </si>
  <si>
    <t>ksLWg_Wueis</t>
  </si>
  <si>
    <t>MCnlgHZxQ3M</t>
  </si>
  <si>
    <t>xpYyT3x5MH4</t>
  </si>
  <si>
    <t>80vpveNasic</t>
  </si>
  <si>
    <t>-NXOyS16QPs</t>
  </si>
  <si>
    <t>CBVIpQ8iWsU</t>
  </si>
  <si>
    <t>3S5B2naPCzg</t>
  </si>
  <si>
    <t>jQ6yStJEBk8</t>
  </si>
  <si>
    <t>SMSdqooCju0</t>
  </si>
  <si>
    <t>eiwBs8CdhYM</t>
  </si>
  <si>
    <t>vpNzBuIbBMw</t>
  </si>
  <si>
    <t>Sr5ZF62-nXs</t>
  </si>
  <si>
    <t>v8nbzM77BXU</t>
  </si>
  <si>
    <t>Yg5nfJZA954</t>
  </si>
  <si>
    <t>xl8Y1LkPezY</t>
  </si>
  <si>
    <t>LZaqM69M7RM</t>
  </si>
  <si>
    <t>ERag1oSE6O8</t>
  </si>
  <si>
    <t>8o96ey4jCgE</t>
  </si>
  <si>
    <t>0hTA4b6RJ20</t>
  </si>
  <si>
    <t>DpYh9vGKT68</t>
  </si>
  <si>
    <t>i_NlVCSUkKU</t>
  </si>
  <si>
    <t>EXYeBBpPZAo</t>
  </si>
  <si>
    <t>n6wV71eoD-o</t>
  </si>
  <si>
    <t>tpGs0Gjbtnc</t>
  </si>
  <si>
    <t>bJarV4vGqJk</t>
  </si>
  <si>
    <t>jVKf00r_CMw</t>
  </si>
  <si>
    <t>Z1-nSzQp-ZM</t>
  </si>
  <si>
    <t>8WQVb_nuKvs</t>
  </si>
  <si>
    <t>ZbACeD1WeZE</t>
  </si>
  <si>
    <t>v6vsnqD09BI</t>
  </si>
  <si>
    <t>5ibMg3GBy6U</t>
  </si>
  <si>
    <t>Ev51bYqyd8w</t>
  </si>
  <si>
    <t>s0RnDgWAumI</t>
  </si>
  <si>
    <t>t6TlN6xtE2A</t>
  </si>
  <si>
    <t>MRFboPotot4</t>
  </si>
  <si>
    <t>TaGIOoLBrVE</t>
  </si>
  <si>
    <t>IcdRz2TpBfA</t>
  </si>
  <si>
    <t>PxjBUs3Lxkg</t>
  </si>
  <si>
    <t>PF5X_HZvKmU</t>
  </si>
  <si>
    <t>-8TowElIV4Q</t>
  </si>
  <si>
    <t>BeR2-TcSMwE</t>
  </si>
  <si>
    <t>NOSu7An-R4Y</t>
  </si>
  <si>
    <t>gvOWG5Is8Q0</t>
  </si>
  <si>
    <t>XFJZjxUOIl8</t>
  </si>
  <si>
    <t>W7uhgHbQrmc</t>
  </si>
  <si>
    <t>Fxvmt3kkoaw</t>
  </si>
  <si>
    <t>8lZe8Sk-30Y</t>
  </si>
  <si>
    <t>dHZb6t2OJJ4</t>
  </si>
  <si>
    <t>9Hyi7FJLo10</t>
  </si>
  <si>
    <t>YMzDHZmCncQ</t>
  </si>
  <si>
    <t>brI_t6uoaUs</t>
  </si>
  <si>
    <t>cbkTbHs4X_Q</t>
  </si>
  <si>
    <t>lCOyxb12Zs8</t>
  </si>
  <si>
    <t>bvQdCagVJrk</t>
  </si>
  <si>
    <t>T8U3DB31uC4</t>
  </si>
  <si>
    <t>wXn5DGtbIWo</t>
  </si>
  <si>
    <t>3ud6ZBhekw0</t>
  </si>
  <si>
    <t>wigFF7_cQJM</t>
  </si>
  <si>
    <t>HnQHxmx2T8o</t>
  </si>
  <si>
    <t>YXidbKNxt5U</t>
  </si>
  <si>
    <t>TVQ0aOyMmsc</t>
  </si>
  <si>
    <t>u3OUA36oV9M</t>
  </si>
  <si>
    <t>stuigvSWir0</t>
  </si>
  <si>
    <t>PK1LUzGBT08</t>
  </si>
  <si>
    <t>A7ER6TiAxEU</t>
  </si>
  <si>
    <t>-GrAZAgIar8</t>
  </si>
  <si>
    <t>SkpUnKFtado</t>
  </si>
  <si>
    <t>6yZlEsxgEhk</t>
  </si>
  <si>
    <t>DnQ_5GqKMZU</t>
  </si>
  <si>
    <t>vgdY3yZf-nQ</t>
  </si>
  <si>
    <t>3e_dJIEjfgk</t>
  </si>
  <si>
    <t>SRBQcMfKB6A</t>
  </si>
  <si>
    <t>XraE9GmUNgU</t>
  </si>
  <si>
    <t>CG73_51p-jU</t>
  </si>
  <si>
    <t>5T6jS2K3WNA</t>
  </si>
  <si>
    <t>g9FtLj1LseM</t>
  </si>
  <si>
    <t>qX7bib-Yy5M</t>
  </si>
  <si>
    <t>b95rD8WUhuM</t>
  </si>
  <si>
    <t>vHnyUo5ETtI</t>
  </si>
  <si>
    <t>hSG28ge-Tkk</t>
  </si>
  <si>
    <t>vVnczVDOw2M</t>
  </si>
  <si>
    <t>t-Y8W6Ns90U</t>
  </si>
  <si>
    <t>niYKn__Jvoo</t>
  </si>
  <si>
    <t>dEhm1eU4I60</t>
  </si>
  <si>
    <t>7jjYSIzv54E</t>
  </si>
  <si>
    <t>TG0GlQCNLYc</t>
  </si>
  <si>
    <t>BRdWhowQTxY</t>
  </si>
  <si>
    <t>kbx09rfcjUY</t>
  </si>
  <si>
    <t>xbCMEFBLKZQ</t>
  </si>
  <si>
    <t>nF4q27HzKJ0</t>
  </si>
  <si>
    <t>_ZZCBy_3Xeg</t>
  </si>
  <si>
    <t>7gM9ky_LxmY</t>
  </si>
  <si>
    <t>fZONU029MPU</t>
  </si>
  <si>
    <t>_y5xyUNIaUo</t>
  </si>
  <si>
    <t>7trBUu7g9tg</t>
  </si>
  <si>
    <t>UJXHztP6NxQ</t>
  </si>
  <si>
    <t>lQ9_ROHrlHo</t>
  </si>
  <si>
    <t>s-Z7LJdw22c</t>
  </si>
  <si>
    <t>WzlIMOAAftw</t>
  </si>
  <si>
    <t>078icPoZC8c</t>
  </si>
  <si>
    <t>O3gTz0Ir3rI</t>
  </si>
  <si>
    <t>Bdd_Dr7QUQ4</t>
  </si>
  <si>
    <t>Hj1ZMRV2jXc</t>
  </si>
  <si>
    <t>MirnhF328D4</t>
  </si>
  <si>
    <t>mjir1eSJh-A</t>
  </si>
  <si>
    <t>69nQYIYOPLw</t>
  </si>
  <si>
    <t>u81oCK7rWNo</t>
  </si>
  <si>
    <t>4NVLq4YJ278</t>
  </si>
  <si>
    <t>oVvF6puUv0w</t>
  </si>
  <si>
    <t>3JmTqay0vz0</t>
  </si>
  <si>
    <t>14UdiF4slpU</t>
  </si>
  <si>
    <t>OrLM7awX5Ls</t>
  </si>
  <si>
    <t>L8UJQ20Q2N4</t>
  </si>
  <si>
    <t>FngI0OaDfq4</t>
  </si>
  <si>
    <t>NOvqWOIq8vM</t>
  </si>
  <si>
    <t>wTt3VmgFLmA</t>
  </si>
  <si>
    <t>YvNnokjFTbg</t>
  </si>
  <si>
    <t>A9FieuHyYDY</t>
  </si>
  <si>
    <t>XCaH4ya5jxE</t>
  </si>
  <si>
    <t>xw-2CI7nW0g</t>
  </si>
  <si>
    <t>uc5msHvdHaU</t>
  </si>
  <si>
    <t>zQT7vcwwiVs</t>
  </si>
  <si>
    <t>Rkz2rBtWTiY</t>
  </si>
  <si>
    <t>Cl8feBZ7Ysk</t>
  </si>
  <si>
    <t>2m0pXqv8Mn4</t>
  </si>
  <si>
    <t>5cK3n8BLsPA</t>
  </si>
  <si>
    <t>2INSSI2gYxc</t>
  </si>
  <si>
    <t>8AK1yGP4nbI</t>
  </si>
  <si>
    <t>pNfTK39k55U</t>
  </si>
  <si>
    <t>Q31eTDRwy9w</t>
  </si>
  <si>
    <t>A-eX9Z2v8AU</t>
  </si>
  <si>
    <t>gGBS0k6cWuw</t>
  </si>
  <si>
    <t>_g4rROYL3Ug</t>
  </si>
  <si>
    <t>mnd7Ja0KmUg</t>
  </si>
  <si>
    <t>mH1pDc5ybbw</t>
  </si>
  <si>
    <t>C2vgICfQawE</t>
  </si>
  <si>
    <t>zBkjFGYKMhA</t>
  </si>
  <si>
    <t>MoqQ8IQumOo</t>
  </si>
  <si>
    <t>SW_esTMlu7w</t>
  </si>
  <si>
    <t>ewsF7l6d3Lw</t>
  </si>
  <si>
    <t>th7BjxJkgeI</t>
  </si>
  <si>
    <t>Wk-Ia0sqYzI</t>
  </si>
  <si>
    <t>v9EKV2nSU8w</t>
  </si>
  <si>
    <t>ajKefIfIuoY</t>
  </si>
  <si>
    <t>uwTtC0phJPs</t>
  </si>
  <si>
    <t>5MgBikgcWnY</t>
  </si>
  <si>
    <t>Ee-mw0RC7fY</t>
  </si>
  <si>
    <t>dOjkc8UNNEI</t>
  </si>
  <si>
    <t>Ld2LJfzo9Rw</t>
  </si>
  <si>
    <t>8bOUWMWmdC4</t>
  </si>
  <si>
    <t>64iGmF1zejw</t>
  </si>
  <si>
    <t>P2gSJ61v4MA</t>
  </si>
  <si>
    <t>xNQU0wZf-NA</t>
  </si>
  <si>
    <t>lo6x4eulY9g</t>
  </si>
  <si>
    <t>IXtDChNB3gc</t>
  </si>
  <si>
    <t>IHchRepUj8o</t>
  </si>
  <si>
    <t>RJ1V7fr28x0</t>
  </si>
  <si>
    <t>tSAlzuYd2ig</t>
  </si>
  <si>
    <t>1oMThuGDZwg</t>
  </si>
  <si>
    <t>K1MvnzXDKaI</t>
  </si>
  <si>
    <t>bzd8r-uEjY8</t>
  </si>
  <si>
    <t>NwqYOLQF_z0</t>
  </si>
  <si>
    <t>_y1Ioi9ZhB8</t>
  </si>
  <si>
    <t>WLsTzYBFb8I</t>
  </si>
  <si>
    <t>tj7al6MXu7U</t>
  </si>
  <si>
    <t>ikDCoWRaqWk</t>
  </si>
  <si>
    <t>emgsBpy8XZ4</t>
  </si>
  <si>
    <t>ARM42-eorzE</t>
  </si>
  <si>
    <t>Ee42ORf5U0E</t>
  </si>
  <si>
    <t>UyD8MIYqihY</t>
  </si>
  <si>
    <t>eC5mTo2u91U</t>
  </si>
  <si>
    <t>Ifi1nQikyL4</t>
  </si>
  <si>
    <t>qyxRVFaCfFU</t>
  </si>
  <si>
    <t>Ds_y_KLSSrM</t>
  </si>
  <si>
    <t>u92_eQ_onDw</t>
  </si>
  <si>
    <t>S2r5nXUu9x8</t>
  </si>
  <si>
    <t>EPyqE8bFrCw</t>
  </si>
  <si>
    <t>UaykGWoES8c</t>
  </si>
  <si>
    <t>ulELAiFY1gE</t>
  </si>
  <si>
    <t>h40pXhuyNRM</t>
  </si>
  <si>
    <t>mCh1okJuEko</t>
  </si>
  <si>
    <t>tQEKPHefqJY</t>
  </si>
  <si>
    <t>xVZ38RgvWlM</t>
  </si>
  <si>
    <t>VjVmPBffaQk</t>
  </si>
  <si>
    <t>F8Jtw13FCAA</t>
  </si>
  <si>
    <t>nhYbhvnROwU</t>
  </si>
  <si>
    <t>UhntoeUVuyM</t>
  </si>
  <si>
    <t>j9Jq6K3FPCw</t>
  </si>
  <si>
    <t>OP2G6pPZXls</t>
  </si>
  <si>
    <t>hpxMnUmofSc</t>
  </si>
  <si>
    <t>0IbMChN8RVQ</t>
  </si>
  <si>
    <t>HK3x9xl6j-o</t>
  </si>
  <si>
    <t>HZzIcjXoHjM</t>
  </si>
  <si>
    <t>hRs8sZwLDOU</t>
  </si>
  <si>
    <t>r9njyO4lUlA</t>
  </si>
  <si>
    <t>z59t_VBm9bQ</t>
  </si>
  <si>
    <t>m7nf-vBwXL0</t>
  </si>
  <si>
    <t>c6VdrbRS3hI</t>
  </si>
  <si>
    <t>owEegehhYVA</t>
  </si>
  <si>
    <t>uixIsXdCN_k</t>
  </si>
  <si>
    <t>hKyFHVQBgxQ</t>
  </si>
  <si>
    <t>VW_cZ7eN5wQ</t>
  </si>
  <si>
    <t>JctqHCp-XFY</t>
  </si>
  <si>
    <t>FC_F7HI1wkw</t>
  </si>
  <si>
    <t>Y3RQr-W1Oss</t>
  </si>
  <si>
    <t>1CaL9U6bIiQ</t>
  </si>
  <si>
    <t>vB2_zFeaA-4</t>
  </si>
  <si>
    <t>qksUKbaMPRA</t>
  </si>
  <si>
    <t>02m22FaT9Wg</t>
  </si>
  <si>
    <t>JG38c26G_q8</t>
  </si>
  <si>
    <t>lmTasfBjzfk</t>
  </si>
  <si>
    <t>uUPIBJj-qpY</t>
  </si>
  <si>
    <t>Dvu196xHPPs</t>
  </si>
  <si>
    <t>0s4n_JXfS6A</t>
  </si>
  <si>
    <t>8YBCEZnklQQ</t>
  </si>
  <si>
    <t>eL6rfr19wW8</t>
  </si>
  <si>
    <t>ho3myuCsMiA</t>
  </si>
  <si>
    <t>gMjgJ9-T31Y</t>
  </si>
  <si>
    <t>6NyxrxFTlNU</t>
  </si>
  <si>
    <t>YydE5D6cSyo</t>
  </si>
  <si>
    <t>2oIXVtdDoe0</t>
  </si>
  <si>
    <t>xjupkaao4f0</t>
  </si>
  <si>
    <t>Z_mTQhrFt5c</t>
  </si>
  <si>
    <t>d7WdONCriXo</t>
  </si>
  <si>
    <t>If6w3tbuRjA</t>
  </si>
  <si>
    <t>UnrUTPb-Bfs</t>
  </si>
  <si>
    <t>GZk6654uyus</t>
  </si>
  <si>
    <t>mD40nKwbi0s</t>
  </si>
  <si>
    <t>mVfrdcX9rXE</t>
  </si>
  <si>
    <t>_LaLy5_fsNo</t>
  </si>
  <si>
    <t>OP-N7R6gmhA</t>
  </si>
  <si>
    <t>Wk5NG1V4hG8</t>
  </si>
  <si>
    <t>dh7jdtds2u8</t>
  </si>
  <si>
    <t>qH18DIX1prA</t>
  </si>
  <si>
    <t>s2VhRwNQdgk</t>
  </si>
  <si>
    <t>fvtKe7s8Mls</t>
  </si>
  <si>
    <t>W9WOwQTF4kg</t>
  </si>
  <si>
    <t>x94vCNcsxgs</t>
  </si>
  <si>
    <t>d_cuFAmp5ws</t>
  </si>
  <si>
    <t>FznsiWf3g1g</t>
  </si>
  <si>
    <t>Yx3-Tf8DXtw</t>
  </si>
  <si>
    <t>42LmWaCy7fY</t>
  </si>
  <si>
    <t>gtFT7kP3DrQ</t>
  </si>
  <si>
    <t>M8SLHUDiHGI</t>
  </si>
  <si>
    <t>S_p8hi1ZSCo</t>
  </si>
  <si>
    <t>YYrGF7vpnGA</t>
  </si>
  <si>
    <t>PAMr42W7JdI</t>
  </si>
  <si>
    <t>r7_-r8NXZyM</t>
  </si>
  <si>
    <t>KQwLeVWdIFk</t>
  </si>
  <si>
    <t>-KALxBabMbk</t>
  </si>
  <si>
    <t>S_CIpntTllw</t>
  </si>
  <si>
    <t>_kPXKZaYW2w</t>
  </si>
  <si>
    <t>MUlTEYg82JU</t>
  </si>
  <si>
    <t>qVhq_Laz7fI</t>
  </si>
  <si>
    <t>KTrgKMqYA90</t>
  </si>
  <si>
    <t>P7Tps1Cpc5I</t>
  </si>
  <si>
    <t>krCWuJtgejY</t>
  </si>
  <si>
    <t>Ao9vIwDm8Ao</t>
  </si>
  <si>
    <t>czhc8i0obDI</t>
  </si>
  <si>
    <t>_Ct0uA9miqI</t>
  </si>
  <si>
    <t>Tniz_Z4OBoo</t>
  </si>
  <si>
    <t>PfjpZN08SIw</t>
  </si>
  <si>
    <t>znvIAR-4I24</t>
  </si>
  <si>
    <t>hKrKfshNVOQ</t>
  </si>
  <si>
    <t>_AwyYPVuGYg</t>
  </si>
  <si>
    <t>yhO_t-c3yJY</t>
  </si>
  <si>
    <t>IzAuGa7YKeU</t>
  </si>
  <si>
    <t>s_Az3Azecuc</t>
  </si>
  <si>
    <t>pP7mReQuebw</t>
  </si>
  <si>
    <t>NeQ4eE1QVVU</t>
  </si>
  <si>
    <t>_5BklQTGJmE</t>
  </si>
  <si>
    <t>x2XVS9JPPkM</t>
  </si>
  <si>
    <t>JUY-Rj4U_0U</t>
  </si>
  <si>
    <t>mRMzb6Pd994</t>
  </si>
  <si>
    <t>RCeQVjzdkJo</t>
  </si>
  <si>
    <t>wG_jXP8XOSw</t>
  </si>
  <si>
    <t>5i9JVwdLudU</t>
  </si>
  <si>
    <t>SWdBjNEaQLE</t>
  </si>
  <si>
    <t>3av7pWrGyiE</t>
  </si>
  <si>
    <t>aWOGAnxPmy0</t>
  </si>
  <si>
    <t>7BK2FJGnmvs</t>
  </si>
  <si>
    <t>Z0ihlPQkg8c</t>
  </si>
  <si>
    <t>39UZVsnxEEE</t>
  </si>
  <si>
    <t>LrymUYA0ubE</t>
  </si>
  <si>
    <t>Wpx9rAXG0xE</t>
  </si>
  <si>
    <t>bHaBgS5dYaQ</t>
  </si>
  <si>
    <t>IL6GAe6EJXI</t>
  </si>
  <si>
    <t>5wiBSAeimb8</t>
  </si>
  <si>
    <t>jcMPYTo-BHc</t>
  </si>
  <si>
    <t>r7X66lVVkxo</t>
  </si>
  <si>
    <t>aGTmW7L-uXU</t>
  </si>
  <si>
    <t>YxlPJ3SpH7c</t>
  </si>
  <si>
    <t>iD7nMcMFMto</t>
  </si>
  <si>
    <t>RlMWViJPEfQ</t>
  </si>
  <si>
    <t>ubd34kwmLC4</t>
  </si>
  <si>
    <t>0h3mlHWDWeQ</t>
  </si>
  <si>
    <t>4ELaosIe9aE</t>
  </si>
  <si>
    <t>0tvHJ5L8i44</t>
  </si>
  <si>
    <t>Xd8mH_a0OSQ</t>
  </si>
  <si>
    <t>N9irl60bduk</t>
  </si>
  <si>
    <t>yl0IJZO-BK0</t>
  </si>
  <si>
    <t>2w1RxW-lYV0</t>
  </si>
  <si>
    <t>fyLsEcRhyVo</t>
  </si>
  <si>
    <t>I0RkdZGD5hk</t>
  </si>
  <si>
    <t>FlwQ4UYqKsc</t>
  </si>
  <si>
    <t>h4Af5bbFAq0</t>
  </si>
  <si>
    <t>Ab5annGq3zQ</t>
  </si>
  <si>
    <t>OkHgtFmxyfE</t>
  </si>
  <si>
    <t>ahTfhuqIn30</t>
  </si>
  <si>
    <t>LfMs8TL0H0o</t>
  </si>
  <si>
    <t>zy3saX7L6iM</t>
  </si>
  <si>
    <t>NoJvP06sDr4</t>
  </si>
  <si>
    <t>5tZKQS5MkY4</t>
  </si>
  <si>
    <t>qy5-zqx1G90</t>
  </si>
  <si>
    <t>6efQBGIfsj0</t>
  </si>
  <si>
    <t>8yZSH0Gg-6Y</t>
  </si>
  <si>
    <t>ho9rZjlsyYY</t>
  </si>
  <si>
    <t>pbiRMpE5mNg</t>
  </si>
  <si>
    <t>m676KsisvXg</t>
  </si>
  <si>
    <t>OwdlhSGLams</t>
  </si>
  <si>
    <t>myowhDwuxLQ</t>
  </si>
  <si>
    <t>TAeW5lNm0kU</t>
  </si>
  <si>
    <t>8-ffqW-Xq_o</t>
  </si>
  <si>
    <t>XJFV6cx_-MQ</t>
  </si>
  <si>
    <t>CGUzxENnOu0</t>
  </si>
  <si>
    <t>9b2_0bCOaXg</t>
  </si>
  <si>
    <t>YPOqb8S68K4</t>
  </si>
  <si>
    <t>wFVNLf_Di_4</t>
  </si>
  <si>
    <t>gCU7x8pQG70</t>
  </si>
  <si>
    <t>Cwj9PtCX-ds</t>
  </si>
  <si>
    <t>7PD-50o5X9w</t>
  </si>
  <si>
    <t>K0xkwzNjToA</t>
  </si>
  <si>
    <t>n3YIyVd3j2c</t>
  </si>
  <si>
    <t>anctdHsPsKU</t>
  </si>
  <si>
    <t>9hvYQzDyjCQ</t>
  </si>
  <si>
    <t>q1TIKQwsyrE</t>
  </si>
  <si>
    <t>f6mkkckMlMw</t>
  </si>
  <si>
    <t>qovPe_LvNtk</t>
  </si>
  <si>
    <t>avSRvJ0JVh4</t>
  </si>
  <si>
    <t>gB4SglL5WeE</t>
  </si>
  <si>
    <t>cU1wGUM5PJw</t>
  </si>
  <si>
    <t>emxBgA1eqbE</t>
  </si>
  <si>
    <t>_dXsQxwyEtw</t>
  </si>
  <si>
    <t>cgOvxpmH2P0</t>
  </si>
  <si>
    <t>L-g4k8Z85RU</t>
  </si>
  <si>
    <t>IUoo-uTrYHI</t>
  </si>
  <si>
    <t>2NtqrOUE-ys</t>
  </si>
  <si>
    <t>bTIZn8WoKSI</t>
  </si>
  <si>
    <t>Sw-etzTnKVA</t>
  </si>
  <si>
    <t>Vv3urftQgOU</t>
  </si>
  <si>
    <t>PiQodZkKTKY</t>
  </si>
  <si>
    <t>fZi0mULsEHc</t>
  </si>
  <si>
    <t>q8fvXaUX5f4</t>
  </si>
  <si>
    <t>Zs0WQ_qqnw8</t>
  </si>
  <si>
    <t>i4nz_93AD2Q</t>
  </si>
  <si>
    <t>vuj5GbLxIrI</t>
  </si>
  <si>
    <t>FPjAXI0UHC8</t>
  </si>
  <si>
    <t>xy30B4sgD6I</t>
  </si>
  <si>
    <t>DVD2MvlgUpU</t>
  </si>
  <si>
    <t>dy4On_Q2cyI</t>
  </si>
  <si>
    <t>Ni-hgczxhYg</t>
  </si>
  <si>
    <t>Nevsl3HUzUk</t>
  </si>
  <si>
    <t>CzEwnH1OnnA</t>
  </si>
  <si>
    <t>cucK3A0BXEk</t>
  </si>
  <si>
    <t>tzjLKH8Sf2g</t>
  </si>
  <si>
    <t>REcTR_ksglE</t>
  </si>
  <si>
    <t>pWBC0tE4unQ</t>
  </si>
  <si>
    <t>PYnOomGv26w</t>
  </si>
  <si>
    <t>ZSl4BePAqAg</t>
  </si>
  <si>
    <t>LojMrlzKndY</t>
  </si>
  <si>
    <t>5C8gQKP9Uqg</t>
  </si>
  <si>
    <t>ImZtQfHgNZU</t>
  </si>
  <si>
    <t>N_Lrs22A-28</t>
  </si>
  <si>
    <t>qGqjggq2ZA4</t>
  </si>
  <si>
    <t>HyMa2Zz1jQ0</t>
  </si>
  <si>
    <t>GkA5WOeLWbM</t>
  </si>
  <si>
    <t>TyUsy6vB0NE</t>
  </si>
  <si>
    <t>HiSalCQijQI</t>
  </si>
  <si>
    <t>XdsFpFr7D4Q</t>
  </si>
  <si>
    <t>LWiVjNG2SIY</t>
  </si>
  <si>
    <t>C17VbbxhtYw</t>
  </si>
  <si>
    <t>Dl41Tf2Ean0</t>
  </si>
  <si>
    <t>kW2yrC4FrK4</t>
  </si>
  <si>
    <t>uLqWnLzr7q4</t>
  </si>
  <si>
    <t>VVzCooLLyCk</t>
  </si>
  <si>
    <t>hKdkrB8YogQ</t>
  </si>
  <si>
    <t>oJb6P6-pwZY</t>
  </si>
  <si>
    <t>66iOdtRv91o</t>
  </si>
  <si>
    <t>Q3DxW7naz1Y</t>
  </si>
  <si>
    <t>TUAVW_cveg4</t>
  </si>
  <si>
    <t>f2MbVNvPtTs</t>
  </si>
  <si>
    <t>Xql7DY63Ktc</t>
  </si>
  <si>
    <t>gfuPl9xbzDE</t>
  </si>
  <si>
    <t>Bnh0Xu4F3Ww</t>
  </si>
  <si>
    <t>jyQ_Pn7sFKY</t>
  </si>
  <si>
    <t>wm2VZOffRXQ</t>
  </si>
  <si>
    <t>7L2xdReZysQ</t>
  </si>
  <si>
    <t>Un7Xj17XnpI</t>
  </si>
  <si>
    <t>uxO6iA1MhQc</t>
  </si>
  <si>
    <t>WfmN7XbH1RI</t>
  </si>
  <si>
    <t>zE9cd3vP73Y</t>
  </si>
  <si>
    <t>Ti2yRWTSgWA</t>
  </si>
  <si>
    <t>sSv441vom8o</t>
  </si>
  <si>
    <t>RRxfbtVskd0</t>
  </si>
  <si>
    <t>cvdb09zBjCQ</t>
  </si>
  <si>
    <t>yYFhPO5pArc</t>
  </si>
  <si>
    <t>iDxETGfE9Zc</t>
  </si>
  <si>
    <t>F41RYgmIAwc</t>
  </si>
  <si>
    <t>bAayuiGc3LE</t>
  </si>
  <si>
    <t>QLk4qzVmQfg</t>
  </si>
  <si>
    <t>DOPIcum8k1o</t>
  </si>
  <si>
    <t>4mHolCm9ZtE</t>
  </si>
  <si>
    <t>BuJPfB3nbOA</t>
  </si>
  <si>
    <t>aiNhSNjvB90</t>
  </si>
  <si>
    <t>z42-xgvrTT8</t>
  </si>
  <si>
    <t>sfKvvJuHnKs</t>
  </si>
  <si>
    <t>QXe-59uoibU</t>
  </si>
  <si>
    <t>g-0-i59a1PQ</t>
  </si>
  <si>
    <t>J2ir-76r37A</t>
  </si>
  <si>
    <t>VnKpmBrZ47g</t>
  </si>
  <si>
    <t>8ii8VGH2yx4</t>
  </si>
  <si>
    <t>JaMKPAoK2X0</t>
  </si>
  <si>
    <t>yGFHlFww3gE</t>
  </si>
  <si>
    <t>MtXLnZjNKe8</t>
  </si>
  <si>
    <t>lHYWB8NQhTg</t>
  </si>
  <si>
    <t>wVBLmvi7xMQ</t>
  </si>
  <si>
    <t>qReoGX9Xpik</t>
  </si>
  <si>
    <t>vK5x-ZZzezc</t>
  </si>
  <si>
    <t>mfGXZatDiIU</t>
  </si>
  <si>
    <t>UMexdbuKoVc</t>
  </si>
  <si>
    <t>O6nK4fWprfY</t>
  </si>
  <si>
    <t>MVtVJK_qbnI</t>
  </si>
  <si>
    <t>AgX4oJJ1ZyQ</t>
  </si>
  <si>
    <t>_bP6NowsO-Y</t>
  </si>
  <si>
    <t>qPV4GCeAuDY</t>
  </si>
  <si>
    <t>3H81GlbOqZo</t>
  </si>
  <si>
    <t>PBEMof8odBc</t>
  </si>
  <si>
    <t>y3qPfd0L7EY</t>
  </si>
  <si>
    <t>ued4HgbHBPM</t>
  </si>
  <si>
    <t>yLPe3MgEjls</t>
  </si>
  <si>
    <t>23wuptlxUuQ</t>
  </si>
  <si>
    <t>_h1XmNejD-s</t>
  </si>
  <si>
    <t>iIB5-AcazN4</t>
  </si>
  <si>
    <t>RiQxaAqeCUw</t>
  </si>
  <si>
    <t>V7Tg5Gq4ZSQ</t>
  </si>
  <si>
    <t>IeBl-yVjrqQ</t>
  </si>
  <si>
    <t>CHxhjDPKfbY</t>
  </si>
  <si>
    <t>xnNvTwlFZRM</t>
  </si>
  <si>
    <t>MtOG5PK8xDA</t>
  </si>
  <si>
    <t>jgfVynauFpE</t>
  </si>
  <si>
    <t>_X5gPNHR1qQ</t>
  </si>
  <si>
    <t>VG7moZoiwVY</t>
  </si>
  <si>
    <t>8FwCUCquFsE</t>
  </si>
  <si>
    <t>7LBGJHM4xWo</t>
  </si>
  <si>
    <t>GABFYH58D-A</t>
  </si>
  <si>
    <t>L51h8BBu7b8</t>
  </si>
  <si>
    <t>tLteWutitFM</t>
  </si>
  <si>
    <t>a0Ycxn-bZak</t>
  </si>
  <si>
    <t>j0byOQUUglc</t>
  </si>
  <si>
    <t>AdKUJxjn-R8</t>
  </si>
  <si>
    <t>IuiNKNta9BM</t>
  </si>
  <si>
    <t>VoyNEhER0sg</t>
  </si>
  <si>
    <t>f09ybYDJoSE</t>
  </si>
  <si>
    <t>iqPIHXU5ChI</t>
  </si>
  <si>
    <t>QMu5XLux_GA</t>
  </si>
  <si>
    <t>ta1IEaIS5oU</t>
  </si>
  <si>
    <t>RSlc9IxdBw8</t>
  </si>
  <si>
    <t>z-h-BhcV7DM</t>
  </si>
  <si>
    <t>AH0VGxNrzH4</t>
  </si>
  <si>
    <t>YuLMQgwPfK0</t>
  </si>
  <si>
    <t>ZucVXYoegVU</t>
  </si>
  <si>
    <t>kMXZbDT5vm0</t>
  </si>
  <si>
    <t>5es_G9-xInc</t>
  </si>
  <si>
    <t>5KiGF3uZxgU</t>
  </si>
  <si>
    <t>cOpRBfiSFtI</t>
  </si>
  <si>
    <t>W6BYAjhjt38</t>
  </si>
  <si>
    <t>NMonxMKDUzs</t>
  </si>
  <si>
    <t>VHw7rEtawsM</t>
  </si>
  <si>
    <t>mpVghYcgQBI</t>
  </si>
  <si>
    <t>3BAfs_oDevw</t>
  </si>
  <si>
    <t>y0tVnE-8mwU</t>
  </si>
  <si>
    <t>0K7a3EiGH98</t>
  </si>
  <si>
    <t>FINsh6nRLGk</t>
  </si>
  <si>
    <t>vWdYFfL0dB8</t>
  </si>
  <si>
    <t>6TE3C087TYs</t>
  </si>
  <si>
    <t>XIXvKKEQQJo</t>
  </si>
  <si>
    <t>dFv0dUshY_8</t>
  </si>
  <si>
    <t>WX4a8Lpy504</t>
  </si>
  <si>
    <t>fE8y9V-XyWw</t>
  </si>
  <si>
    <t>dsCdCISZXY4</t>
  </si>
  <si>
    <t>o_0QKUjmEB0</t>
  </si>
  <si>
    <t>EwJ4NKkDOnk</t>
  </si>
  <si>
    <t>wqwbjXJ0mbc</t>
  </si>
  <si>
    <t>7DSE0grb-k4</t>
  </si>
  <si>
    <t>66ltSEPc55E</t>
  </si>
  <si>
    <t>ZElQufsv27U</t>
  </si>
  <si>
    <t>7cNyER5LccU</t>
  </si>
  <si>
    <t>A7s_xM5SL0s</t>
  </si>
  <si>
    <t>oBUd8P5_Bqw</t>
  </si>
  <si>
    <t>8h2INPoPA7A</t>
  </si>
  <si>
    <t>g_bIs7eRnKI</t>
  </si>
  <si>
    <t>BuFIatLXjQ8</t>
  </si>
  <si>
    <t>nDN2H2el4YQ</t>
  </si>
  <si>
    <t>TLRQgRyGJBU</t>
  </si>
  <si>
    <t>lJ0oRGIkKQs</t>
  </si>
  <si>
    <t>YMwTFrgRNZY</t>
  </si>
  <si>
    <t>Oi6drX_q86E</t>
  </si>
  <si>
    <t>c09rRKP8TB4</t>
  </si>
  <si>
    <t>itCM5-uV_D4</t>
  </si>
  <si>
    <t>NvsnpmEoXCk</t>
  </si>
  <si>
    <t>Akkf2QecpTw</t>
  </si>
  <si>
    <t>HXoFYkWB3C4</t>
  </si>
  <si>
    <t>rM5gr-UHAlo</t>
  </si>
  <si>
    <t>_rZUJEQDQ_Q</t>
  </si>
  <si>
    <t>1co4qvuclPg</t>
  </si>
  <si>
    <t>Recommended Video</t>
  </si>
  <si>
    <t>Title</t>
  </si>
  <si>
    <t>Description</t>
  </si>
  <si>
    <t>Tags</t>
  </si>
  <si>
    <t>Author</t>
  </si>
  <si>
    <t>Created Date (UTC)</t>
  </si>
  <si>
    <t>Views</t>
  </si>
  <si>
    <t>Comments</t>
  </si>
  <si>
    <t>Likes Count</t>
  </si>
  <si>
    <t>Dislikes Count</t>
  </si>
  <si>
    <t>Custom Menu Item Text</t>
  </si>
  <si>
    <t>Custom Menu Item Action</t>
  </si>
  <si>
    <t>Police searching van located at home of parents to missing woman's boyfriend</t>
  </si>
  <si>
    <t>Gigi Hadid on Being a Farm Mom &amp; Celebrating America | Met Gala 2021 With Emma Chamberlain | Vogue</t>
  </si>
  <si>
    <t>Learning Animals With Blippi + More Blippi Videos For Kids | Educational Videos For Kids</t>
  </si>
  <si>
    <t>Sharing is Caring Song _xD83D__xDC4D_❤| Good Habits Song | Nursery Rhymes | Kids Songs | BabyBus</t>
  </si>
  <si>
    <t>Fortnite Chapter 2 Season 8 Story Trailer</t>
  </si>
  <si>
    <t>Blippi Explores Planes For Kids | Vehicles For Children | Educational Videos For Kids</t>
  </si>
  <si>
    <t>Game of the Year? Baltimore Ravens vs. Las Vegas Raiders | Week 1 2021 NFL Game Highlights</t>
  </si>
  <si>
    <t>Bucket List: Walking on a Plane</t>
  </si>
  <si>
    <t>Twinkle Twinkle Little Star  + More Nursery Rhymes &amp; Kids Songs - CoComelon</t>
  </si>
  <si>
    <t>Marvel Studios’ Hawkeye | Official Trailer | Disney+</t>
  </si>
  <si>
    <t>EDUCACIÓN VIRTUAL: Alfabetización Digital (Clase 1)</t>
  </si>
  <si>
    <t>Sick Song (Cody Edition) | CoComelon Nursery Rhymes &amp; Kids Songs</t>
  </si>
  <si>
    <t>Kendall Jenner on Her Classic Hollywood-Inspired Look | Met Gala 2021 With Emma Chamberlain | Vogue</t>
  </si>
  <si>
    <t>Alfabetización digital en el aula I.</t>
  </si>
  <si>
    <t>Entrevista a Stefan Kaspar  "Es el momento de promover la alfabetización audiovisual"</t>
  </si>
  <si>
    <t>¿CUÁNTO SABES ACERCA DE LA BRECHA DIGITAL?</t>
  </si>
  <si>
    <t>Los nativos digitales</t>
  </si>
  <si>
    <t>Diseño y Evaluación Curricular</t>
  </si>
  <si>
    <t>Educación Innovadora</t>
  </si>
  <si>
    <t>Educación en la Era Digital</t>
  </si>
  <si>
    <t>Los nuevos desafíos de la educación | Sandra Alegre | TEDxEldorado</t>
  </si>
  <si>
    <t>¿QUÉ ES LA NEURODIDÁCTICA? | DOCENTES 2.0</t>
  </si>
  <si>
    <t>Alfabetización Mediática</t>
  </si>
  <si>
    <t>Aproximaciones a la educación digital - David Buckingham</t>
  </si>
  <si>
    <t>Tendencias de la Educación Superior en América Latina y El Caribe</t>
  </si>
  <si>
    <t>Vídeo 1.1. Qué es la narración digital - Objetivos</t>
  </si>
  <si>
    <t>Michael Fullan en Foro de Innovación Educativa</t>
  </si>
  <si>
    <t>Redes (Nº 102)  - La manera disruptiva de aprender</t>
  </si>
  <si>
    <t>La competencia matemática  y el pensamiento crítico, razonamiento y creatividad</t>
  </si>
  <si>
    <t>Investigación acción participativa en la docencia</t>
  </si>
  <si>
    <t>Debate 1: Inés Dussel</t>
  </si>
  <si>
    <t>Periodismo digital y nuevas narrativas</t>
  </si>
  <si>
    <t>¿Porqué innovar en educación? | Inés Aguerrondo | TEDxPuraVidaED</t>
  </si>
  <si>
    <t>EDULAB - Aula Invertida con Google</t>
  </si>
  <si>
    <t>Microaprendizaje: ¿Qué es el pensamiento crítico y cómo desarrollarlo?</t>
  </si>
  <si>
    <t>Gestión de los Aprendizajes - Metacognición</t>
  </si>
  <si>
    <t>Dos proyectos educativos innovadores en Kenia y Ghana - learning world</t>
  </si>
  <si>
    <t>Alfabetización digital en el aula II.</t>
  </si>
  <si>
    <t>ALFABETIZACIÓN DIGITAL  - TECSOLUTIONS  - MS WORD - CLASE 03  - 01/05/2021</t>
  </si>
  <si>
    <t>Leccion 1 Alfabetizacion digital</t>
  </si>
  <si>
    <t>V.Completa."La primera lección sobre amor es la dignidad personal”.Walter Riso, psicólogo y escritor</t>
  </si>
  <si>
    <t>हनुमान चालीसा Hanuman Chalisa I GULSHAN KUMAR I HARIHARAN, Full HD Video I Shree Hanuman Chalisa</t>
  </si>
  <si>
    <t>El Brillo De Mis Ojos [Edición Especial] - Jesús Adrián Romero - Album Completo</t>
  </si>
  <si>
    <t>Hoja de trabajo No 3</t>
  </si>
  <si>
    <t>Clase Virtual Sistemas e Instalación de Software Clase 2 Primer Bimestre</t>
  </si>
  <si>
    <t>Entrenamiento alfabetización digital para docentes</t>
  </si>
  <si>
    <t>¿Qué es la alfabetización digital?</t>
  </si>
  <si>
    <t>La alfabetización digital gratuita</t>
  </si>
  <si>
    <t>Conoce sobre Alfabetización Digital</t>
  </si>
  <si>
    <t>Video recopilatorio - Proyecto de Alfabetización Digital 2020-2021</t>
  </si>
  <si>
    <t>Yo Ya No Vuelvo Contigo - (Video Oficial) - Lenin Ramirez ft. Grupo Firme</t>
  </si>
  <si>
    <t>Bienvenida Academia de Innovación UdeC</t>
  </si>
  <si>
    <t>Fortnite Chapter 2 Season 8 Battle Pass Trailer</t>
  </si>
  <si>
    <t>Alfabetización Digital</t>
  </si>
  <si>
    <t>Alfabetización Digital - Mauleactiva 2004</t>
  </si>
  <si>
    <t>Presentación maestras prek  video</t>
  </si>
  <si>
    <t>Escritura en preescolar</t>
  </si>
  <si>
    <t>Alfabetización Inicial: el aprendizaje.</t>
  </si>
  <si>
    <t>Alfabetización inicial: competencia lectora</t>
  </si>
  <si>
    <t>Metodo silabico 1.mp4</t>
  </si>
  <si>
    <t>Video de Bienvenida virtual y presentaciòn, preescolar. reglas para las clases virtuales.</t>
  </si>
  <si>
    <t>Clase de bienvenida virtual a los niños del nivel Inicial - 4 años</t>
  </si>
  <si>
    <t>Alfabetización Digital y Exclusión Social - Curso MOOC</t>
  </si>
  <si>
    <t>Gánale a tu profesor │ truco</t>
  </si>
  <si>
    <t>Clase magistral Musinetwork por el saxofonista ARTURO CARAZA</t>
  </si>
  <si>
    <t>Alfabetización Inicial: Introducción.</t>
  </si>
  <si>
    <t>Alfabetización Inicial: oralidad y escritura.</t>
  </si>
  <si>
    <t>Alfabetización Digital a Docentes de Educación Sup</t>
  </si>
  <si>
    <t>Unidad 3: Alfabetización Crítica y Brecha Digital, Estrategias para Profesionales</t>
  </si>
  <si>
    <t>#INLUGO2014 - Taller de alfabetización digital @blogoff</t>
  </si>
  <si>
    <t>Programa de inclusión y alfabetización Digital</t>
  </si>
  <si>
    <t>Primer día de clase de un profesor</t>
  </si>
  <si>
    <t>Leer para aprender</t>
  </si>
  <si>
    <t>Tarea 1  Alfabetización Digital</t>
  </si>
  <si>
    <t>Alfabetización digital en México</t>
  </si>
  <si>
    <t>Unidad 1: Aprendizaje Ubicuo y Alfabetización Digital</t>
  </si>
  <si>
    <t>Tecnología y Educación la Alfabetización Digital</t>
  </si>
  <si>
    <t>ALFABETIZACIÓN DIGITAL  |  Bastard Education</t>
  </si>
  <si>
    <t>Componente alfabetización digital</t>
  </si>
  <si>
    <t>Definición y origen de Alfabetización, de la web definicion.de - ORIGEN DE PALABRAS</t>
  </si>
  <si>
    <t>Historia de la luz</t>
  </si>
  <si>
    <t>Costos II - Ejercicio ilustrativo para la distribución de costos conjuntos (PARTE 3)</t>
  </si>
  <si>
    <t>Costos II - Ejercicio ilustrativo para la distribución de costos conjuntos (PARTE 4)</t>
  </si>
  <si>
    <t>Registro biométrico</t>
  </si>
  <si>
    <t>Antes, durante y después de escribir una tesis</t>
  </si>
  <si>
    <t>La nueva economía de la agricultura</t>
  </si>
  <si>
    <t>Testimonio sobre la implementación de la estrategia de aprendizaje basado en emprendimiento</t>
  </si>
  <si>
    <t>Macroeconomía</t>
  </si>
  <si>
    <t>Las 10 HERRAMIENTAS y APPS que más USO en mis CLASES _xD83D__xDC68_‍_xD83C__xDFEB__xD83D__xDCBB__xD83D__xDCDD_</t>
  </si>
  <si>
    <t>Costos II - Ejercicio ilustrativo para la distribución de costos conjuntos (PARTE 2)</t>
  </si>
  <si>
    <t>Costos II - Ejercicio ilustrativo para la distribución de costos conjuntos (PARTE 1)</t>
  </si>
  <si>
    <t>#Aprender desde casa  Pienso, liego hablo El lenguaje del debate</t>
  </si>
  <si>
    <t>Entre colegas: Sentipensando una universidad anticapacitista</t>
  </si>
  <si>
    <t>Lectura inferencial</t>
  </si>
  <si>
    <t>Corinthians vs El Nacional |  Boca Juniors vs Santiago Morning | Copa Libertadores Femenina 2020</t>
  </si>
  <si>
    <t>Conozcamos con TIC aprendo en la U</t>
  </si>
  <si>
    <t>Alfabetizacion Digital Basica</t>
  </si>
  <si>
    <t>*NEW* SEASON 8 BATTLEPASS In Fortnite (Chapter 2)</t>
  </si>
  <si>
    <t>Starlink Mission</t>
  </si>
  <si>
    <t>SEC Shorts - Texas wants out of the SEC</t>
  </si>
  <si>
    <t>Bucket List: Walking on a Plane (Bloopers)</t>
  </si>
  <si>
    <t>Conor McGregor REACTS to Machine Gun Kelly FIGHT at VMAs!</t>
  </si>
  <si>
    <t>Regreso a clases a distancia, el espejo de la brecha digital y la desigualdad en México</t>
  </si>
  <si>
    <t>NO MEMES, BRECHA DIGITAL: PIÉRDELE MIEDO A LA TECNOLOGÍA!</t>
  </si>
  <si>
    <t>Educación y alfabetización digital (I) Diálogo "Alfabetización y brecha digital"</t>
  </si>
  <si>
    <t>Tecnología: Cerremos la brecha digital en México</t>
  </si>
  <si>
    <t>ALFABETIZACIÓN DIGITAL PARA ADULTOS MAYORES</t>
  </si>
  <si>
    <t>EJERCICIOS PARA ENSEÑAR A ADULTOS</t>
  </si>
  <si>
    <t>Aprende a usar el celular, CLASE 1 para Adultos Mayores, básico.</t>
  </si>
  <si>
    <t>enseñanza de alfabetización para adultos</t>
  </si>
  <si>
    <t>Vocales para adultos</t>
  </si>
  <si>
    <t>Adultos Mayores, terminan curso de Alfabetizacion Digital</t>
  </si>
  <si>
    <t>MATERIAL PARA ENSEÑAR A ADULTOS.</t>
  </si>
  <si>
    <t>Tecnología para adultos mayores</t>
  </si>
  <si>
    <t>METODOLOGIA DE EDUCACIÓN PARA ADULTOS</t>
  </si>
  <si>
    <t>Conferencia: "Desafios del Adulto Mayor"</t>
  </si>
  <si>
    <t>Meridia - Proyecto de Vida en Personas Mayores</t>
  </si>
  <si>
    <t>Escuelas para Adultos Mayores en la CDMX</t>
  </si>
  <si>
    <t>Me da igual: internet para Mayores.</t>
  </si>
  <si>
    <t>5 Aplicaciones GRATIS para editar videos SIN MARCAS de agua</t>
  </si>
  <si>
    <t>¿Cómo quieren ser cuidadas las personas mayores? Documental "Me llamo Carmen"</t>
  </si>
  <si>
    <t>ESCALERA DE LA MEMORIA - TERAPIA COGNITIVA - ACARI</t>
  </si>
  <si>
    <t>Los adultos mayores y las tecnologías</t>
  </si>
  <si>
    <t>HERMANN', el CORTO sobre la PANDEMIA inspirado en un ANCIANO con ALZHEIMER</t>
  </si>
  <si>
    <t>CURSO ALFABETIZACIÓN PARA ADULTOS | ENSEÑAR A LEER Y ESCRIBIR ADULTOS</t>
  </si>
  <si>
    <t>¿CÓMO ENSEÑAR A ADULTOS?</t>
  </si>
  <si>
    <t>Alfabetizacion Digital</t>
  </si>
  <si>
    <t>ALFABETIZACIÓN DIGITAL</t>
  </si>
  <si>
    <t>Alfabetización digital para profesores y estudiantes universitarios. Apuntes iniciales</t>
  </si>
  <si>
    <t>Alfabetización de adultos, por Liliana Virkel</t>
  </si>
  <si>
    <t>Lesson 2 - Las Vocales (Clases de Español para Adultos)</t>
  </si>
  <si>
    <t>CONCEPTO DE ALFABETIZACIÓN</t>
  </si>
  <si>
    <t>Estrategias de Apredizaje Para Adultos</t>
  </si>
  <si>
    <t>¿Cómo hacer una clase interactiva de Matemáticas 2?</t>
  </si>
  <si>
    <t>Programa Nacional de Alfabetización</t>
  </si>
  <si>
    <t>Webinar: Fundación Bunge y Born - Alfabetización temprana</t>
  </si>
  <si>
    <t>Alfabetización digital.</t>
  </si>
  <si>
    <t>Dinámica: Cartero (Presentarse y conocer de forma divertida a los participantes)</t>
  </si>
  <si>
    <t>Alfabetización Digital para Adultos Mayores - Testimonios</t>
  </si>
  <si>
    <t>Realizan curso de alfabetización digital para adultos mayores</t>
  </si>
  <si>
    <t>El INEA y la alfabetización de los adultos - Al Aire con Paola</t>
  </si>
  <si>
    <t>APRENDER A LEER Y ESCRIBIR 1</t>
  </si>
  <si>
    <t>Wounded Birds (Yaralı Kuşlar) | Capítulo 4 en Español</t>
  </si>
  <si>
    <t>Wounded Birds (Yaralı Kuşlar) | Capítulo 5 en Español</t>
  </si>
  <si>
    <t>Noticiero NCC Edición Salud - 16 al 22 de agosto 2021</t>
  </si>
  <si>
    <t>Noticiero Científico y Cultural Iberoamericano - 26 de julio al 01 de agosto 2021</t>
  </si>
  <si>
    <t>Noticiero Científico y Cultural Iberoamericano - 09 al 15 de agosto 2021</t>
  </si>
  <si>
    <t>Resumen: Taller Gritabocas, resistir bordando</t>
  </si>
  <si>
    <t>Alfabetizacion digital en la inclusión social de los adultos mayores</t>
  </si>
  <si>
    <t>Noticiero Científico y Cultural Iberoamericano - 06 al 12 de septiembre 2021</t>
  </si>
  <si>
    <t>Niveles de escritura de Emilia Ferreiro</t>
  </si>
  <si>
    <t>Receta: Masa para tartas saladas - Tipo Pascualina - LaCocinadera</t>
  </si>
  <si>
    <t>Noticiero Científico y Cultural Iberoamericano - 23 al 29 de agosto 2021</t>
  </si>
  <si>
    <t>Gritabocas, resistir bordando</t>
  </si>
  <si>
    <t>Noticiero NCC Edición Salud - 02 al 08 de agosto 2021</t>
  </si>
  <si>
    <t>APRENDE A REDACTAR COMO UN PROFESIONAL | Maria Pabla</t>
  </si>
  <si>
    <t>Show Drag con Chotoxx Rivera</t>
  </si>
  <si>
    <t>Andragogía ¿cómo aprenden los adultos? | Teorías del Aprendizaje | Dr. Cesar Orsini</t>
  </si>
  <si>
    <t>Resumen: Panel de reflexión en torno al Drag como expresión artística</t>
  </si>
  <si>
    <t>El terrible señor frío y el malvado señor calor - VITAMINA C</t>
  </si>
  <si>
    <t>Concierto Babe Mija</t>
  </si>
  <si>
    <t>Como Cortar el Cabello Recto, Desfilado y en U “CURSO CORTE CABELLO #1”</t>
  </si>
  <si>
    <t>La tecnología, un nuevo reto para las personas adultas mayores | Patricia Kelly</t>
  </si>
  <si>
    <t>Dinámica de valores para adolescentes, jóvenes y adultos</t>
  </si>
  <si>
    <t>El mito de las 72 horas - IMAGO</t>
  </si>
  <si>
    <t>7 actividades y dinámicas para encuentros virtuales || Zoom/Meet</t>
  </si>
  <si>
    <t>Baile Calabaceado: El folklore norteño - IMAGO</t>
  </si>
  <si>
    <t>Exposición Colectiva de Artes Plásticas y Visuales</t>
  </si>
  <si>
    <t>3 Excelentes Actividades para Adultos Mayores (ejercitar el cerebro y la memoria)</t>
  </si>
  <si>
    <t>Algas y Biorremediación - VITAMINA C</t>
  </si>
  <si>
    <t>“Los campesinos damos de comer al país, pero este no reconoce la precariedad de la vida en el campo”</t>
  </si>
  <si>
    <t>Programa para adultos mayores</t>
  </si>
  <si>
    <t>¡Al fin! Conoce el servicio de Alfabetización Informacional para adultos mayores de la BLAA</t>
  </si>
  <si>
    <t>La UNAM promueve la inclusión digital con adultos mayores - UNAM Global</t>
  </si>
  <si>
    <t>La Alfabetización Digital y la Web 2.0</t>
  </si>
  <si>
    <t>CONSEJOS PARA ENSEÑAR A ADULTOS</t>
  </si>
  <si>
    <t>Inicio a la Lectoescritura ( El Método Montessori )</t>
  </si>
  <si>
    <t>15 Dinámicas, Juegos y Actividades Recreativas para Realizar con Adultos Mayores</t>
  </si>
  <si>
    <t>Realiza SOPA DE LETRAS en Power Point | Miss Kathy | Zukistrukis</t>
  </si>
  <si>
    <t>Como ingreso al curso Alfabetización Digital 2020</t>
  </si>
  <si>
    <t>CURSO COMPLETO COMO ALFABETIZAR ADULTOS</t>
  </si>
  <si>
    <t>Alfabetización Digital en la Salud</t>
  </si>
  <si>
    <t>Instructivo para  el Ingreso a Plataforma Virtual</t>
  </si>
  <si>
    <t>Breve Historia de la educación en Ecuador         .HD</t>
  </si>
  <si>
    <t>Pasos para Hacer una Tesis - Partes de un Tesis [aprenderlyx.com]</t>
  </si>
  <si>
    <t>La práctica docente en la enseñanza de las ciencias.flv</t>
  </si>
  <si>
    <t>Cómo escribir un ensayo / una composición</t>
  </si>
  <si>
    <t>Moodle: Tareas Rúbricas</t>
  </si>
  <si>
    <t>Familia y Sociedad</t>
  </si>
  <si>
    <t>Meet: Streaming</t>
  </si>
  <si>
    <t>¿Qué es la Tecnología Educativa?</t>
  </si>
  <si>
    <t>Unidad 3 - Lección 3 - Alfabetización en Salud | 17/23 | UPV</t>
  </si>
  <si>
    <t>Alfabetización Científica</t>
  </si>
  <si>
    <t>Que es la Tecnologia Educativa.</t>
  </si>
  <si>
    <t>La pregunta de investigación</t>
  </si>
  <si>
    <t>Ser mujer y científica: una visión personal</t>
  </si>
  <si>
    <t>TIPS, TUTORIAL Y EJERCICIOS DE VOCALIZACIÓN Y USO DE LA VOZ / CÓMO SER UN ORADOR / GUILLERMO MORANTE</t>
  </si>
  <si>
    <t>Competencia comunicativa y/o lingüística</t>
  </si>
  <si>
    <t>Los estudios de Matemáticas. Universidad de La Laguna.</t>
  </si>
  <si>
    <t>La vida universitaria según Olivia y Adán - Tu oportunidad</t>
  </si>
  <si>
    <t>Usando la calculadora en Estadística: Media y desviación típica</t>
  </si>
  <si>
    <t>DGCyE - Situaciones didacticas en el inicio de la alfabetizacion</t>
  </si>
  <si>
    <t>"Prácticas sociales del lenguaje emergentes y aprendizaje de la lectura y la escritura"</t>
  </si>
  <si>
    <t>Alfabetización digital</t>
  </si>
  <si>
    <t>Generalidades de la alfabetización digital</t>
  </si>
  <si>
    <t>HERRAMIENTAS  DE COMUNICACIÓN SINCRÓNICAS Y ASINCRÓNICAS</t>
  </si>
  <si>
    <t>La alfabetización en los medios</t>
  </si>
  <si>
    <t>¿Por qué estudiar Tecnologias de la Información?</t>
  </si>
  <si>
    <t>LA SOCIEDAD DEL CONOCIMIENTO, EDUCACIÓN Y TECNOLOGÍA</t>
  </si>
  <si>
    <t>CLASES DE CANTO | Como Cantar Bien Leccion 1 | CURSO COMPLETO</t>
  </si>
  <si>
    <t>El PAI 2021-2024 nuestra hoja de ruta para los próximos tres años</t>
  </si>
  <si>
    <t>¿Qué es el  aprendizaje?</t>
  </si>
  <si>
    <t>Los gastos hormiga - Somos Familia UdeA</t>
  </si>
  <si>
    <t>rubricas</t>
  </si>
  <si>
    <t>¿Cómo ingresar a con TIC aprendo en la U?</t>
  </si>
  <si>
    <t>El uso de las TIC en la vida cotidiana - Prepa en Línea SEP</t>
  </si>
  <si>
    <t>Herramientas de Comunicación Sincronica y Asincronica</t>
  </si>
  <si>
    <t>¿Qué es la Didáctica?</t>
  </si>
  <si>
    <t>¿Qué es recurso didáctico?</t>
  </si>
  <si>
    <t>Herramientas Sincrónicas y Asincrónicas | ¿Que son?</t>
  </si>
  <si>
    <t>ANALFABETISMO DIGITAL</t>
  </si>
  <si>
    <t>Los Paradigmas del E-Learning</t>
  </si>
  <si>
    <t>La construcción del conocimiento</t>
  </si>
  <si>
    <t>Todo lo que necesitas saber sobre actividades síncronas y asíncronas y no te habían contado</t>
  </si>
  <si>
    <t>Cómo aplicar la Taxonomía de Bloom - Ideas para profes</t>
  </si>
  <si>
    <t>Formación docente: ¿Qué son las TICs?</t>
  </si>
  <si>
    <t>Técnicas de estudio en Medicina: Método SQ4R</t>
  </si>
  <si>
    <t>Luz 4x4 pardadeando Mitsubishi Montero</t>
  </si>
  <si>
    <t>Alfabetización Digital Farfan</t>
  </si>
  <si>
    <t>Registro de Pin de Vale Digital</t>
  </si>
  <si>
    <t>Cambiar pin de Vale Digital</t>
  </si>
  <si>
    <t>Scratch 3.0 cambiar fondos, Movimiento y Disfraces</t>
  </si>
  <si>
    <t>Registro de vacunas Panamá Solidario</t>
  </si>
  <si>
    <t>Alfabetización digital empodera al usuario</t>
  </si>
  <si>
    <t>Moneros, grandes transformadores de la historia de México</t>
  </si>
  <si>
    <t>¡¡PROFE, Cuida tu márquetin en el primer día de clase!!</t>
  </si>
  <si>
    <t>Emprender siendo joven: Andres Barreto at TEDxJoven@Montevideo</t>
  </si>
  <si>
    <t>La mejor presentación de tu vida</t>
  </si>
  <si>
    <t>Cómo Hacer Una Buena Exposición Oral y Hablar Correctamente | Oratoria: Presentación en Público #154</t>
  </si>
  <si>
    <t>Pedagogía Waldorf, el documental. Colegio Inlakesh, ciudad de México</t>
  </si>
  <si>
    <t>Las Carreras Universitarias mejor pagadas de México</t>
  </si>
  <si>
    <t>_xD83D__xDED1_  5+1 ERRORES Graves al HABLAR en PÚBLICO ► No los cometas</t>
  </si>
  <si>
    <t>Educación Tecnológica (digital) del futuro: Un día hecho de vidrio.</t>
  </si>
  <si>
    <t>COMO APRENDER CUALQUIER COSA DIFÍCIL</t>
  </si>
  <si>
    <t>Restituir el pasado a un pueblo que podría no conocerlo, papel fundamental del historiador</t>
  </si>
  <si>
    <t>EDUCACIÓN INICIAL - Video 1</t>
  </si>
  <si>
    <t>Se integra la UNAM a Red Internacional de Cátedras Abertis</t>
  </si>
  <si>
    <t>_xD83D__xDDE8__xD83D__xDCAC_ La PEDAGOGÍA de PAULO FREIRE en 3 MINUTOS▶ [MÉTODO DE ALFABETIZACIÓN]</t>
  </si>
  <si>
    <t>4 Sencillas Técnicas de Memorización [Para Estudiar Mejor]</t>
  </si>
  <si>
    <t>La primera Acta de Independencia de México se publicó…en Texas</t>
  </si>
  <si>
    <t>No hay evidencias de que mascotas contagien al humano de SARS-CoV-2</t>
  </si>
  <si>
    <t>¿Cómo funciona su teléfono móvil?</t>
  </si>
  <si>
    <t>✅Aprende Cómo INICIAR una PRESENTACIÓN para Captar la ATENCIÓN de tu PÚBLICO (¡FUNCIONA!)</t>
  </si>
  <si>
    <t>Reanudará actividades Universum con exposición “Italia: el arte de la ciencia”</t>
  </si>
  <si>
    <t>Voto libre y principio de mayoría, bases de la democracia</t>
  </si>
  <si>
    <t>Instalan Junta Directiva de Aceleradora de Negocios Biotecnológicos UNAM-Hidalgo</t>
  </si>
  <si>
    <t>Patricia Dolores Dávila Aranda, nueva secretaria de Desarrollo Institucional</t>
  </si>
  <si>
    <t>En las ciudades se genera más de 70 por ciento de las emisiones contaminantes globales</t>
  </si>
  <si>
    <t>Posgrado, espacio para crecimiento en la formación de recursos humanos especializados Lomelí Vanegas</t>
  </si>
  <si>
    <t>Tratan cálculos biliares a base de rábano negro</t>
  </si>
  <si>
    <t>Mensaje del Secretario General Día Mundial de la Diversidad Cultural para el Diálogo y el Desarrollo</t>
  </si>
  <si>
    <t>Alfabetización digital (con subtítulos): Juan García at TEDxOviedoUniversity</t>
  </si>
  <si>
    <t>Conociendo a Vigotsky, Piaget, Ausubel y Novak</t>
  </si>
  <si>
    <t>La educación del Siglo XXI</t>
  </si>
  <si>
    <t>¿Cómo aprende el cerebro? Aprende con Neuroeducación por Luis Bretel</t>
  </si>
  <si>
    <t>Los nuevos retos de la educación | César Bona | TEDxBarcelona</t>
  </si>
  <si>
    <t>2. ¿CÓMO INICIAR UNA CLASE?</t>
  </si>
  <si>
    <t>_xD83D__xDD51_ ¿Qué es la alfabetización digital y cuál es su importancia en el desarrollo del país?</t>
  </si>
  <si>
    <t>PUCP - Cómo se planifican las clases</t>
  </si>
  <si>
    <t>ALFABETIZACIÓN DIGITAL: ¿qué significa?</t>
  </si>
  <si>
    <t>COMO ENSEÑAR A LEER A TU NIÑO - PARTE 1</t>
  </si>
  <si>
    <t>Cómo iniciar una presentación en público</t>
  </si>
  <si>
    <t>Tú ¿Por qué eres maestro?</t>
  </si>
  <si>
    <t>¿Qué es el analfabetismo digital?</t>
  </si>
  <si>
    <t>Día Internacional de la Alfabetización 2020</t>
  </si>
  <si>
    <t>¿Por qué es importante la ALFABETIZACIÓN DIGITAL?</t>
  </si>
  <si>
    <t>Clase 1 • Alfabetización Digital</t>
  </si>
  <si>
    <t>101 Pensamiento Poderosos  por "Louise L. Hay"</t>
  </si>
  <si>
    <t>What is Visual Literacy?</t>
  </si>
  <si>
    <t>Como Localizar tu Movil Perdido o Robado con Google Maps</t>
  </si>
  <si>
    <t>Curso Alfabetización Digital</t>
  </si>
  <si>
    <t>Alfabetización</t>
  </si>
  <si>
    <t>Alfabetización digital,  tarea modulo 1.</t>
  </si>
  <si>
    <t>Mas allá de la brecha digital | Janine Warner | TEDxPuraVida</t>
  </si>
  <si>
    <t>Taller de Alfabetización Digital para Personas Mayores WHATSAPP (Clase 1)</t>
  </si>
  <si>
    <t>Literatura digital</t>
  </si>
  <si>
    <t>What is Visual Literacy? (Part 1 of 8)</t>
  </si>
  <si>
    <t>PD - Taller de Alfabetización Digital - Introducción</t>
  </si>
  <si>
    <t>Bibliotecas digitales</t>
  </si>
  <si>
    <t>Educador Digital: Soy Principiante Sesion 1/6</t>
  </si>
  <si>
    <t>MOOC ReSIDo: Curación de Contenidos</t>
  </si>
  <si>
    <t>Modulo 1, Alfabetización digital</t>
  </si>
  <si>
    <t>CÓMO DESACTIVAR LA UBICACIÓN GPS DE TU TELÉFONO</t>
  </si>
  <si>
    <t>Tercer Cielo - Yo Te Extrañare (Video Oficial)</t>
  </si>
  <si>
    <t>Módulo 2: Los recursos digitales - Sentido pedagógico</t>
  </si>
  <si>
    <t>Clase 2 • "Manejo de Plataforma Zoom" • Alfabetización Digital</t>
  </si>
  <si>
    <t>Experta en educación analiza la importancia de la alfabetización digital en las nuevas generaciones</t>
  </si>
  <si>
    <t>Búsquedas y selección de la información</t>
  </si>
  <si>
    <t>Smart City Expo Santiago 2020: ciudades inclusivas y sostenibles</t>
  </si>
  <si>
    <t>IMPORTANCIA DE LAS CIENCIAS SOCIALES</t>
  </si>
  <si>
    <t>Estándares de competencias en ciencias sociales</t>
  </si>
  <si>
    <t>APRENDO 2013 - "La Importancia del Juego en la Primera Infancia"</t>
  </si>
  <si>
    <t>¿Qué es ser un buen estudiante?</t>
  </si>
  <si>
    <t>Estrategias y métodos en la enseñanza de Estudios Sociales</t>
  </si>
  <si>
    <t>ia13 difunde y promueve la cultura tecnológica 4.0</t>
  </si>
  <si>
    <t>El nuevo rol del maestro en el siglo XXI.flv</t>
  </si>
  <si>
    <t>Álvaro Undurraga “una Smart City debe permitirnos una mejor calidad de vida”</t>
  </si>
  <si>
    <t>8 de Septiembre Dia Internacional de la Alfabetización</t>
  </si>
  <si>
    <t>CALIDAD EDUCATIVA ORIENTADA AL USO DE LAS TIC</t>
  </si>
  <si>
    <t>Instituto Internacional STENAM inaugura Hub Global de Tecnologías 4.0</t>
  </si>
  <si>
    <t>Dimensiones de la Alfabetización Digital</t>
  </si>
  <si>
    <t>Jóvenes, culturas urbanas y redes sociales</t>
  </si>
  <si>
    <t>Qué son las ciencias de la educación| Concepto, ciencias que la conforman, área laboral</t>
  </si>
  <si>
    <t>Eduardo Bitran: “El hidrógeno verde es una llave maestra para el desarrollo de Chile”</t>
  </si>
  <si>
    <t>2ª Robo-One LatinoAmérica</t>
  </si>
  <si>
    <t>Ensayo CALAS • Ciudadanos reemplazados por algoritmos de Néstor García Canclini</t>
  </si>
  <si>
    <t>Diálogos sobre Educación: La importancia de la evaluación en Educación</t>
  </si>
  <si>
    <t>Ponencia Alex Rovira - La Educación del Ser</t>
  </si>
  <si>
    <t>La Sociedad de la Información</t>
  </si>
  <si>
    <t>ETAPAS DE LA ESCRITURA</t>
  </si>
  <si>
    <t>Construyendo la comunicación (dinámica de grupo)</t>
  </si>
  <si>
    <t>TIC ¿Qué son?</t>
  </si>
  <si>
    <t>Los gestos de mala educación. Vulgaridad</t>
  </si>
  <si>
    <t>Conferencia Emilia Ferreiro_Leer en la era Digital</t>
  </si>
  <si>
    <t>Programa de alfabetización digital  para docentes EPT y estudiantes JEC 2015 - VC 24.06.16</t>
  </si>
  <si>
    <t>Introducción a la alfabetización digital</t>
  </si>
  <si>
    <t>Alfabetización Digital ¿Qué es?</t>
  </si>
  <si>
    <t>Alfabetización digital: conoce más sobre el manejo de herramientas</t>
  </si>
  <si>
    <t>Conferencia Emilia Ferreiro (Alfabetización)</t>
  </si>
  <si>
    <t>Seminario online: Pedagogía + Tecnología, un reto constante para los docentes</t>
  </si>
  <si>
    <t>La brecha digital en minuto y medio</t>
  </si>
  <si>
    <t>Alfabetización digital para chicos y chicas</t>
  </si>
  <si>
    <t>Coronilla a San Miguel Arcángel/ORACIÓN CATÓLICA</t>
  </si>
  <si>
    <t>425. Ejercicio #1 de Liquidación de Prestaciones Sociales</t>
  </si>
  <si>
    <t>Corte y Confección_3.3 - Molde Trasero</t>
  </si>
  <si>
    <t>Corte y Confección_Historias - Mabu</t>
  </si>
  <si>
    <t>Corte y Confección_Historias - Elizabeth</t>
  </si>
  <si>
    <t>Corte y Confección_2.2 - Molde Delantero</t>
  </si>
  <si>
    <t>Escuelas argentinas</t>
  </si>
  <si>
    <t>La compu por dentro</t>
  </si>
  <si>
    <t>Preparar una clase con TIC</t>
  </si>
  <si>
    <t>Pensamiento computacional, programación y robótica: ideas para incluirlos en el jardín</t>
  </si>
  <si>
    <t>Consejos para cuidar la compu</t>
  </si>
  <si>
    <t>Vídeo 3.2. Enseñar la competencia digital en el aula - Ideas clave</t>
  </si>
  <si>
    <t>Enseñar a los niños a comprender y no aprender de memoria | Técnicas de estudio</t>
  </si>
  <si>
    <t>Didáctica general y didáctica específica.</t>
  </si>
  <si>
    <t>Consejos para iniciar a los niños en la escritura</t>
  </si>
  <si>
    <t>Tutorial Pizarra Digital</t>
  </si>
  <si>
    <t>Alfabetización inicial - Caminos de tiza (1 de 4)</t>
  </si>
  <si>
    <t>Cómo GANARTE a Tus ALUMNOS | 10 Estrategias (Muy fácil)</t>
  </si>
  <si>
    <t>Cómo desarrollar la comprensión de la lectura</t>
  </si>
  <si>
    <t>Crea tus videolecciones para el aula con EdPuzzle (2020)</t>
  </si>
  <si>
    <t>10 Actividades Para Trabajar El Nombre Propio</t>
  </si>
  <si>
    <t>Planied RN Pizarra digital Nivel Inicial</t>
  </si>
  <si>
    <t>Brecha digital y educativa en la pandemia</t>
  </si>
  <si>
    <t>Aprender Conectados Nivel Inicial</t>
  </si>
  <si>
    <t>Proyecto Tablet para Educación Parvularia</t>
  </si>
  <si>
    <t>LA ESCRITURA Y SUS NIVELES</t>
  </si>
  <si>
    <t>Aliviar dolor lumbar | 6 estiramientos muy efectivos</t>
  </si>
  <si>
    <t>Introduccion de Tabletas en Nivel Inicial - Intel&amp;Eccleston</t>
  </si>
  <si>
    <t>Alfabetización digital 2 0</t>
  </si>
  <si>
    <t>Alfabetización inicial</t>
  </si>
  <si>
    <t>3.Conocimiento directo por abstracción</t>
  </si>
  <si>
    <t>Taller Aprendiendo a usar Excel</t>
  </si>
  <si>
    <t>BREVE HISTORIA DEL CONOCIMIENTO</t>
  </si>
  <si>
    <t>Alfabetización Informacional</t>
  </si>
  <si>
    <t>Aprendiendo a leer y a escribir - Método de Lectoescritura</t>
  </si>
  <si>
    <t>Alfabetización digital, seguridad e identidad digital</t>
  </si>
  <si>
    <t>¿Qué es la alfabetización?</t>
  </si>
  <si>
    <t>ALFABETIZACIÓN MEDIÁTICA</t>
  </si>
  <si>
    <t>Alfabetización informacional</t>
  </si>
  <si>
    <t>Alfabetización digital: ¿cómo manejas tu información?</t>
  </si>
  <si>
    <t>Alfabetización Digital  9  Internet</t>
  </si>
  <si>
    <t>Solucionar Problema "no hay conexiones disponibles" sin internet! en Windows</t>
  </si>
  <si>
    <t>Oportunidades para aprender a leer y escribir con el INEA</t>
  </si>
  <si>
    <t>Aprender Ingles desde cero: CURSO INGLES GRATIS</t>
  </si>
  <si>
    <t>CURSO CÓMO ENSEÑAR A LEER Y ESCRIBIR | CLASE 1</t>
  </si>
  <si>
    <t>INNOVAR 2011 - Conf. Prof. Mirta Torres</t>
  </si>
  <si>
    <t>Los atajos de teclado más útiles de la computadora. (15 Funciones ocultas)</t>
  </si>
  <si>
    <t>no hay conexiones disponibles resuelto</t>
  </si>
  <si>
    <t>Profesores que dejan marca | Oscar Ghillione | TEDxRiodelaPlataED</t>
  </si>
  <si>
    <t>CLAUDIO NARANJO - "Conocimiento Transformador" - Conferencia en Buenos Aires, 24 de abril de 2013</t>
  </si>
  <si>
    <t>basico1 computacion Principiantes</t>
  </si>
  <si>
    <t>Ángel Díaz Barriga, “Curriculum en Educación”</t>
  </si>
  <si>
    <t>Curso básico de computación inicio desde cero</t>
  </si>
  <si>
    <t>Conectar 2 Pcs con cable de Red</t>
  </si>
  <si>
    <t>Instalación de rack puestos de trabajo y organización de cables de red</t>
  </si>
  <si>
    <t>Experiencias potentes para una inclusión con calidad - Emilio Tenti Fanfani</t>
  </si>
  <si>
    <t>Curso de redes Introduccion a redes de computadoras - Clases de 1 hora</t>
  </si>
  <si>
    <t>Curso de informática y sistemas manejo básico de Windows 7 capitulo1</t>
  </si>
  <si>
    <t>Informatica para novatos. 01-1 Entorno de trabajo de Windows</t>
  </si>
  <si>
    <t>Configuracion de acceso a internet</t>
  </si>
  <si>
    <t>Curso de Redes. 1.1. Introducción. Conceptos básicos. Redes informáticas y telemáticas.</t>
  </si>
  <si>
    <t>Inés Dussel - Adrián Paenza hablan de educación (P - II)</t>
  </si>
  <si>
    <t>Diferencia entre Internet y Web</t>
  </si>
  <si>
    <t>ALFABETIZACION INEA INTERNET</t>
  </si>
  <si>
    <t>Curso de programación desde cero | Principio básico de programación #1</t>
  </si>
  <si>
    <t>Los niños y las pantallas digitales</t>
  </si>
  <si>
    <t>Curso de redes (1) : Internet - protocolo - dirección ip</t>
  </si>
  <si>
    <t>Configurar una red doméstica en Windows 7</t>
  </si>
  <si>
    <t>Profes ¿Miedo a las Tecnologías de la Información? (TIC)</t>
  </si>
  <si>
    <t>¿Qué es Internet y como funciona? (1 de 7)</t>
  </si>
  <si>
    <t>Literacidad Digital - Universidad Veracruzana.</t>
  </si>
  <si>
    <t>Educación Digital en Nivel Inicial</t>
  </si>
  <si>
    <t>Cultura digital - Versión larga</t>
  </si>
  <si>
    <t>Así se enseña a leer</t>
  </si>
  <si>
    <t>Educacion y nativos digitales: Juan Garcia at TEDxValencia</t>
  </si>
  <si>
    <t>23. ¿Como funciona internet? Inicio al protocolo IP</t>
  </si>
  <si>
    <t>¿La tecnología mejora la educación? | Fran García | Virtual Educa Puerto Rico 2016</t>
  </si>
  <si>
    <t>Los 9 Pilares de la Transformación Digital</t>
  </si>
  <si>
    <t>La lectura en la era "pre-digital" (Emilia Ferreiro 1de5)</t>
  </si>
  <si>
    <t>TicAdd: Alfabetización Digital Divertida</t>
  </si>
  <si>
    <t>Aspectos positivos de la alfabetización digital</t>
  </si>
  <si>
    <t>Primaria 1º y 2º clase: 173 Tema: Descripción</t>
  </si>
  <si>
    <t>Aprender a leer y escribir con poemas de María Elena Walsh</t>
  </si>
  <si>
    <t>¿Que es Alfabetización?</t>
  </si>
  <si>
    <t>Cómo conseguir que toda la clase este en silencio . Muy fácil!</t>
  </si>
  <si>
    <t>la alfabetizacion emocional</t>
  </si>
  <si>
    <t>Proyecto  Fotosíntesis</t>
  </si>
  <si>
    <t>Stop Motion: Contaminación ambiental / IES Joanot Martorell - Elx</t>
  </si>
  <si>
    <t>ALFABETISMO</t>
  </si>
  <si>
    <t>How to Create EPIC Hype Reels</t>
  </si>
  <si>
    <t>The Best High School Football Video Ever Created</t>
  </si>
  <si>
    <t>Taller Servicios de tecnologías de información - 14 Sep</t>
  </si>
  <si>
    <t>Desde Santa Marta, Erasmo nos cuenta su experiencia en Misión TIC</t>
  </si>
  <si>
    <t>Nada Está Dicho │ Maite Vizcarra nos habla de la alfabetización digital</t>
  </si>
  <si>
    <t>#CharlasRadioFest Ahora los medios comunitarios estarán conectados con Colombia 4.0</t>
  </si>
  <si>
    <t>DIY Fundas para Celular CASERAS</t>
  </si>
  <si>
    <t>Iván Ortega ve en la programación la base para emprender negocios que antes creía imposibles</t>
  </si>
  <si>
    <t>Servicio Social Estudiantil BVUGC</t>
  </si>
  <si>
    <t>Con Vende Digital ha incrementado sus ventas</t>
  </si>
  <si>
    <t>Conoce  a nuestro #InfluencerTIC de la semana, Alejandro Ortiz Díaz, Enlace Regional para Caldas.</t>
  </si>
  <si>
    <t>_xD83D__xDD34_ Cómo CREA UN EBOOK en canva | Libro Digital</t>
  </si>
  <si>
    <t>Identidad digital. ¿Quiénes somos en la red?</t>
  </si>
  <si>
    <t>Hernán Ávila, docente de la U. del Bosque invita a todos lo jóvenes ser parte de #MisiónTIC2022</t>
  </si>
  <si>
    <t>Visualización de datos abiertos</t>
  </si>
  <si>
    <t>Maritza Plata asumió el reto de llevar su emprendimiento al entorno digital</t>
  </si>
  <si>
    <t>Samuel de Villavicencio nos cuenta los beneficios de formarse en programación con #MisiónTIC2022</t>
  </si>
  <si>
    <t>Carlos Soto destaca las clases de programación e inglés de #MisiónTIC2022</t>
  </si>
  <si>
    <t>Matías Sánchez desarrolla sus ideas y busca cumplir sus sueños a través de  #MisiónTIC2022</t>
  </si>
  <si>
    <t>Edna Salamanca estudia programación con #MisiónTIC2022 para destacarse en esta carrera del futuro</t>
  </si>
  <si>
    <t>¿Qué es el Plan Vive Digital?</t>
  </si>
  <si>
    <t>VERBOS</t>
  </si>
  <si>
    <t>La Alfabetización Digital</t>
  </si>
  <si>
    <t>Digital Literacy – What is digital literacy?</t>
  </si>
  <si>
    <t>Sociedad del conocimiento y la información</t>
  </si>
  <si>
    <t>Joven colombiano se convierte en un exitoso empresario a sus 23 años | Al Rojo Vivo | Telemundo</t>
  </si>
  <si>
    <t>Router Normal vs Router del Palma - Router de Superficie vs Fresadora de cantos</t>
  </si>
  <si>
    <t>¿Qué son las NECESIDADES EDUCATIVAS ESPECIALES? NEE DEFINICIÓN Ejemplo _xD83D__xDE0E__xD83E__xDD13_</t>
  </si>
  <si>
    <t>La alfabetización digital en el marco de la educación a distancia</t>
  </si>
  <si>
    <t>Como hacer un estudio de mercado de forma sencilla</t>
  </si>
  <si>
    <t>Tech Literacy: Exploring Tools Through Content</t>
  </si>
  <si>
    <t>Convergencias y Divergencias: Brechas digitales en México</t>
  </si>
  <si>
    <t>¿Qué es brecha digital?</t>
  </si>
  <si>
    <t>Microaprendizaje: La escuela como nodo de alfabetización digital</t>
  </si>
  <si>
    <t>Aprendamos: Las TIC y los niveles de alfabetización digital</t>
  </si>
  <si>
    <t>Internacionalización del currículum</t>
  </si>
  <si>
    <t>¿Qué es la alfabetización digital sanitaria?</t>
  </si>
  <si>
    <t>Ángel Pérez - "La inclusión en la escuela"</t>
  </si>
  <si>
    <t>Moodle: Tareas Guía de evaluación</t>
  </si>
  <si>
    <t>CADE Digital 2018: La transformación digital es ahora</t>
  </si>
  <si>
    <t>Moodle: Uso de la tarea de Moodle para un examen</t>
  </si>
  <si>
    <t>Moodle: Introducción Grupos</t>
  </si>
  <si>
    <t>Salud Pública - ejemplos</t>
  </si>
  <si>
    <t>Moodle: Herramienta Elección de grupo</t>
  </si>
  <si>
    <t>Redacción de un proyecto de investigación</t>
  </si>
  <si>
    <t>PRESENTACIONES ANTE TRIBUNAL</t>
  </si>
  <si>
    <t>"Inclusión educativa: un desafío al saber pedagógico" Mgter. Flavia Terigi 5/5</t>
  </si>
  <si>
    <t>Moodle: Tarea Calificar Tareas</t>
  </si>
  <si>
    <t>Alfabetización Inicial: Competencia alfabética.</t>
  </si>
  <si>
    <t>2ª edición Experto Universitario en Asesoramiento Profesional en la Oficina de Farmacia</t>
  </si>
  <si>
    <t>TFG/TFM: Indicaciones para la defensa</t>
  </si>
  <si>
    <t>¿Qué es la Competencia Digital?</t>
  </si>
  <si>
    <t>Analfabetismo en el Perú</t>
  </si>
  <si>
    <t>5 usos interesantes para una VPN</t>
  </si>
  <si>
    <t>Acércate a la química. Aspirina</t>
  </si>
  <si>
    <t>Galardonados Scratcheando 2020</t>
  </si>
  <si>
    <t>Convocatoria concurso Bibliotraileeres</t>
  </si>
  <si>
    <t>3. Otros proyectos de Leer.es: Microleeres y Scratcheando</t>
  </si>
  <si>
    <t>Galardonados Bibliotráileeres 2020</t>
  </si>
  <si>
    <t>Bibliotraileeres 2020.Hachiko. Ganador Primaria</t>
  </si>
  <si>
    <t>Bibliotraileeres 2020- Asesinato en la Torre Eiffel- Mención jurado Primaria.</t>
  </si>
  <si>
    <t>1. Presentación. Definición de narrativa transmedia</t>
  </si>
  <si>
    <t>2. Pensamiento critico y emociones</t>
  </si>
  <si>
    <t>Leer.es Portal de recursos educativos relacionados con las alfabetizaciones múltiples</t>
  </si>
  <si>
    <t>Crece Leyendo Conmigo- 2021-2- Hábitos saludables</t>
  </si>
  <si>
    <t>Scratcheando</t>
  </si>
  <si>
    <t>Crece Leyendo Conmigo- 2021- 1.Desarrollo sostenible</t>
  </si>
  <si>
    <t>Crece Leyendo Conmigo- 2021- 3. Convivencia</t>
  </si>
  <si>
    <t>2. El proyecto de Las Sinsombrero</t>
  </si>
  <si>
    <t>1. Introducción</t>
  </si>
  <si>
    <t>Bibliotraileeres 2020- Sonidos del corazón- Ganador Secundaria</t>
  </si>
  <si>
    <t>Crece Leyendo Conmigo- 2021- 4. No te enREDes</t>
  </si>
  <si>
    <t>Cómo Ganarle a la Competencia - sin bajar los precios - Estrategias de Marketing por Internet</t>
  </si>
  <si>
    <t>¿Qué es el eLearning?</t>
  </si>
  <si>
    <t>¿Qué es la Alfabetización Emergente?</t>
  </si>
  <si>
    <t>Encuentra tu carrera ideal conociendo  tu tipo de inteligencia</t>
  </si>
  <si>
    <t>La alfabetización en un mundo digital</t>
  </si>
  <si>
    <t>Educación Mediática. Un viaje a la Alfabetización Mediatica.</t>
  </si>
  <si>
    <t>Los entornos de aprendizaje digitales</t>
  </si>
  <si>
    <t>10 herramientas de la administración moderna.</t>
  </si>
  <si>
    <t>Mi experiencia  de mi primer trabajo laboral Alfabetización digital</t>
  </si>
  <si>
    <t>HERRAMIENTAS DE GESTIÓN EMPRESARIAL</t>
  </si>
  <si>
    <t>Mediación y retroalimentación en entornos virtuales</t>
  </si>
  <si>
    <t>ALFABETIZACION DIGITAL</t>
  </si>
  <si>
    <t>¿QUE ES LA EDUCOMUNICACIÓN?</t>
  </si>
  <si>
    <t>Tadaa! | Funny Episode | Mr Bean Cartoon World</t>
  </si>
  <si>
    <t>Beans New Haircut | Funny Episodes | Mr Bean Cartoon World</t>
  </si>
  <si>
    <t>Chilli Bean | Funny Episodes | Mr Bean Cartoon World</t>
  </si>
  <si>
    <t>Dimensión 4: ética y civismo digital</t>
  </si>
  <si>
    <t>Rudra - Season 1 - Full Episode 1</t>
  </si>
  <si>
    <t>"Nativos e inmigrantes digitales" Marc Prensky</t>
  </si>
  <si>
    <t>Los 9 elementos de la ciudadania digital</t>
  </si>
  <si>
    <t>Introduction to Microbiology Culture Techniques</t>
  </si>
  <si>
    <t>Importance of Digital Literacy</t>
  </si>
  <si>
    <t>¿que es el diseño de situaciones didácticas?</t>
  </si>
  <si>
    <t>Digital literacy</t>
  </si>
  <si>
    <t>How language shapes the way we think | Lera Boroditsky</t>
  </si>
  <si>
    <t>Ciudadania Digital: Concepto y modelo</t>
  </si>
  <si>
    <t>¿Educomunicación?</t>
  </si>
  <si>
    <t>Literacidad Inicial</t>
  </si>
  <si>
    <t>Competencia Digital Docente</t>
  </si>
  <si>
    <t>ALFIN (Alfabetización informacional)</t>
  </si>
  <si>
    <t>Como es la Alfabetización Digital en la educación virtual y la pandemia !!!</t>
  </si>
  <si>
    <t>Qué es el conocimiento</t>
  </si>
  <si>
    <t>La alfabetización digital de docentes de EMS</t>
  </si>
  <si>
    <t>¿Qué son las TIC?</t>
  </si>
  <si>
    <t>RUTH HARF: Conducir instituciones en tiempos de PANDEMIA - Gestión y Liderazgo - Noveduc.com</t>
  </si>
  <si>
    <t>La Alfabetización inicial en tiempos de Pandemia</t>
  </si>
  <si>
    <t>CÓMO ELABORAR UN PROYECTO DE APRENDIZAJE</t>
  </si>
  <si>
    <t>Paula Carlino - Enseñar a escribir y leer y enseñar con escritura y lectura</t>
  </si>
  <si>
    <t>Webinar: Herramientas TIC para Entornos Digitales</t>
  </si>
  <si>
    <t>5% de aventura y gloria !!! #SHORTS</t>
  </si>
  <si>
    <t>¿Qué son las Habilidades TIC para el Aprendizaje?</t>
  </si>
  <si>
    <t>Microaprendizaje: ¿Qué es Aprender Conectados?</t>
  </si>
  <si>
    <t>Competencia digital docente</t>
  </si>
  <si>
    <t>¿Cómo debemos educar a los 'nativos digitales'? Marc Prensky responde</t>
  </si>
  <si>
    <t>MATERIAL DIDÁCTICO PARA NIÑOS CON NECESIDADES EDUCATIVAS ESPECIALES</t>
  </si>
  <si>
    <t>Actividades para niños con Necesidades Educativas Especiales</t>
  </si>
  <si>
    <t>What does it mean to teach digital literacy to today’s students?</t>
  </si>
  <si>
    <t>International Literacy Day 2020 – Teaching and learning literacy in the COVID-19 crisis and beyond</t>
  </si>
  <si>
    <t>WEBINAR “ENSEÑAR EN TIEMPOS DE PANDEMIA”</t>
  </si>
  <si>
    <t>Introduction to Digital Literacy | Digital Literacy 101</t>
  </si>
  <si>
    <t>Cómo educar a los niños durante la pandemia de COVID-19 (coronavirus)</t>
  </si>
  <si>
    <t>HERRAMIENTAS Y RECURSOS DIGITALES</t>
  </si>
  <si>
    <t>RECURSOS EDUCATIVOS DIGITALES (Audiovisuales en educación)</t>
  </si>
  <si>
    <t>Educación Digital - Intec</t>
  </si>
  <si>
    <t>Cómo hacer videos interactivos con H5P</t>
  </si>
  <si>
    <t>Importancia de la alfabetización digital</t>
  </si>
  <si>
    <t>⭐ PROGRAMAS para Hacer VÍDEOS Explicativos</t>
  </si>
  <si>
    <t>_xD83E__xDD47_10 MEJORES PROGRAMAS PARA HACER VÍDEOS EXPLICATIVOS✅ 2021</t>
  </si>
  <si>
    <t>Recursos digitales</t>
  </si>
  <si>
    <t>Constructivismo y Escuela (Capítulo de Mafalda)</t>
  </si>
  <si>
    <t>Bob Marley - Waiting in Vain (Lyrics)</t>
  </si>
  <si>
    <t>AVANCES EN EL PROGRAMA DE ALFABETIZACIÓN Y CONTINUIDAD EDUCATIVA DEL MINISTERIO DE EDUCACIÓN</t>
  </si>
  <si>
    <t>Bienvenida al curso Alfabetización Digital</t>
  </si>
  <si>
    <t>Cómo compartir mi internet desde mi celular | Cómo usar Android</t>
  </si>
  <si>
    <t>¡Atención maestros! Minedu lanza curso de alfabetización digital</t>
  </si>
  <si>
    <t>Evaluación formativa en modalidad a distancia</t>
  </si>
  <si>
    <t>CINE y EDUCACIÓN | De la necesidad de una ALFABETIZACIÓN AUDIOVISUAL en las escuelas</t>
  </si>
  <si>
    <t>El Cuadrorama como estrategia de comprensión lectora y la producción lectora</t>
  </si>
  <si>
    <t>Cómo crear un libro nuevo en Excel 2016</t>
  </si>
  <si>
    <t>_xD83D__xDCA5_ Cómo ESTUDIAR MEJOR. (_xD83D__xDC49_5 Trucos Para ESTUDIAR Más En Menos Tiempo)</t>
  </si>
  <si>
    <t>Tutorial SALA Messenger Whatsapp</t>
  </si>
  <si>
    <t>Ambientes de aprendizaje para el desarrollo de competencias matemáticas</t>
  </si>
  <si>
    <t>100 herramientas digitales para la educación versión 2020 #QuédateEnCasa y Aprende #Conmigo</t>
  </si>
  <si>
    <t>TRANSFORMACION DE LA PRACTICA DOCENTE</t>
  </si>
  <si>
    <t>Explicación Módulo I- Alfabetización Digital para la Educación Virtual</t>
  </si>
  <si>
    <t>Programa de formación docente para usuarios de dispositivos electrónicos portátiles (parte I)</t>
  </si>
  <si>
    <t>Curso I Preescolar Semana 10: Estrategias de la lectura en textos ilustrados</t>
  </si>
  <si>
    <t>Programa de formación docente para usuarios de dispositivos electrónicos portátiles (parte II)</t>
  </si>
  <si>
    <t>Cómo leer, responder y reenviar un correo electrónico | CÓMO CREAR UN CORREO ELECTRÓNICO</t>
  </si>
  <si>
    <t>TUTORIAL: FIRMAR DIGITALMENTE  - RENIEC</t>
  </si>
  <si>
    <t>¿Qué es el Constructivismo?</t>
  </si>
  <si>
    <t>Juegos en el aula / Destroza el libro de texto.</t>
  </si>
  <si>
    <t>Cómo crear una diapositiva sencilla | Presentaciones básicas en PowerPoint, Google, Keynote</t>
  </si>
  <si>
    <t>17 Atajos con el teclado en Excel. Trucos y Tips de Excel que debes saber.</t>
  </si>
  <si>
    <t>Herramientas digitales para docentes 2021</t>
  </si>
  <si>
    <t>Escuela para Padres - Estilos de aprendizaje: Kinestésico</t>
  </si>
  <si>
    <t>Herramientas tecnológicas y de comunicación para desarrollar la educación a distancia</t>
  </si>
  <si>
    <t>MAICITO - CONCIERTO PERÚ DE COLORES _xD83C__xDDF5__xD83C__xDDEA__xD83C__xDFA8_ (LIVE 4K) - Pelo D' Ambrosio ft. Coro de Niños</t>
  </si>
  <si>
    <t>LAS MEJORES HERRAMIENTAS DIGITALES PARA TUS CLASES VIRTUALES.</t>
  </si>
  <si>
    <t>Alfabetización con adultos - PERU</t>
  </si>
  <si>
    <t>“Cierre de Brechadigital”: Descripción, Configuración y cuidados de la tableta</t>
  </si>
  <si>
    <t>Orientaciones pedagógicas sobre el uso de la tableta</t>
  </si>
  <si>
    <t>Descripción técnica, cuidado y conservación de la tableta</t>
  </si>
  <si>
    <t>Cátedra de Integración Iberoamericana sobre brecha digital y educación, 6 de abril del 2021.</t>
  </si>
  <si>
    <t>Digital - Brecha digital (10/10/2020)</t>
  </si>
  <si>
    <t>Webinar | El ABC de la Alfabetización Física. Deporte para la vida</t>
  </si>
  <si>
    <t>Webinar: "Cierre de brecha digital": Orientaciones pedagógicas sobre el uso de las tabletas</t>
  </si>
  <si>
    <t>_xD83D__xDD34_CURSOS VIRTUALES PERUEDUCA 2021_xD83D__xDC49_Nuevos cursos para abril en adelanrte</t>
  </si>
  <si>
    <t>La competencia en Comunicación Lingüística y su relación con las demás competencias</t>
  </si>
  <si>
    <t>como planificar una unidad didáctica parte I</t>
  </si>
  <si>
    <t>Cómo dar clase a los que no quieren.</t>
  </si>
  <si>
    <t>Cambio climático y ambiental en el Mediterráneo: comprender el alcance del desafío</t>
  </si>
  <si>
    <t>Presentación de oferta de formación de la estrategia cierre de brecha digital</t>
  </si>
  <si>
    <t>Planificación en Educación Inicial</t>
  </si>
  <si>
    <t>Las Competencias Básicas: qué, por qué y cómo</t>
  </si>
  <si>
    <t>Competencia y currículo: transformar el currículo para reinventar la escuela. Ángel Pérez Gómez</t>
  </si>
  <si>
    <t>Importancia de la teoría y enfoque de la política social</t>
  </si>
  <si>
    <t>Presentación de la estrategia Cierre de Brecha Digital en el marco de Aprendo en casa</t>
  </si>
  <si>
    <t>Flavia Terigi “Los equipos directivos y el sostenimiento de las trayectorias escolares”</t>
  </si>
  <si>
    <t>Presentación de oferta de formación de la estrategia Cierre de brecha digital</t>
  </si>
  <si>
    <t>Brecha digital y otros retos de la educación en América Latina y el Caribe durante la pandemia.</t>
  </si>
  <si>
    <t>Superar la brecha digital en tiempos de pandemia - Acceso abierto a información confiable sobre DS</t>
  </si>
  <si>
    <t>Panel Internacional Educación Digital: nuevos retos para la enseñanza y aprendizaje en el siglo XXI</t>
  </si>
  <si>
    <t>Uso de las Apps de la tableta, APRENDO EN CASA | MINEDU, Todas las Áreas, cierre de brecha Digital.</t>
  </si>
  <si>
    <t>PAULO FREIRE- Serie Maestros de América Latina</t>
  </si>
  <si>
    <t>PILAR POZNER  El directivo como gestor</t>
  </si>
  <si>
    <t>La identidad de género, a debate. El reconocimiento de derechos y de los sujetos políticos.</t>
  </si>
  <si>
    <t>Climate and environmental change in the Mediterranean: grasping the scope of the challenge</t>
  </si>
  <si>
    <t>Literatura Infantil y Alfabetización Inicial - Teresa Colomer - 1/2</t>
  </si>
  <si>
    <t>Empatía y alfabetización emocional, dos recetas para la infancia. Mary Gordon, educadora</t>
  </si>
  <si>
    <t>Debate-'Educación y brecha digital tras la pandemia'</t>
  </si>
  <si>
    <t>Versión Completa. Contra la brecha digital y social en la educación. David Calle, profesor</t>
  </si>
  <si>
    <t>PD - Alfabetización Digital - Clase 1 - Parte 1 - Conceptos básicos</t>
  </si>
  <si>
    <t>CLASE INSPIRADORA PREESCOLAR KATHERINE BENITEZ</t>
  </si>
  <si>
    <t>Como Hacer tu CURRICULUM VITAE (hoja de vida) Fácil y Rápido 2019 - Paso a Paso</t>
  </si>
  <si>
    <t>Dinámica: Listones (Trabajo en equipo)</t>
  </si>
  <si>
    <t>¿Que es el hardware? Componentes internos.</t>
  </si>
  <si>
    <t>Tecnocoquito Capítulo 1: Qué es la tecnología</t>
  </si>
  <si>
    <t>_xD83D__xDD34_ENSAMBLE DE CUERDAS DEL ATLÁNTICO  EN EL CULTURAL _xD83C__xDFBB_</t>
  </si>
  <si>
    <t>Alfabetización de adultos Liliana Virkel-Clase 1-Introduccion</t>
  </si>
  <si>
    <t>Leer más rápido</t>
  </si>
  <si>
    <t>Cómo Estudiar Rápido y Bien para Un Examen (y sacar buenas notas)</t>
  </si>
  <si>
    <t>Línea Mayor - TUTORIAL 1 " Descarga de aplicación IPROSS "</t>
  </si>
  <si>
    <t>Uso de las TICs en la educación</t>
  </si>
  <si>
    <t>Redacción, puntuación y ortografía (videoclase)</t>
  </si>
  <si>
    <t>Webinar #1: The Flipped Classroom, por Raúl Santiago</t>
  </si>
  <si>
    <t>OCCEducación</t>
  </si>
  <si>
    <t>04 Objetivos de Aprendizaje</t>
  </si>
  <si>
    <t>Emilia Ferreiro 1/3 .wmv</t>
  </si>
  <si>
    <t>14 aplicaciones educativas de facebook para el aula</t>
  </si>
  <si>
    <t>Video 1. Los libros en preescolar</t>
  </si>
  <si>
    <t>Línea Mayor - Creación de un correo electrónico mediante computadora</t>
  </si>
  <si>
    <t>RC- Elaboración y entrega de panes a los vecinos del  B° Zatti por el día de San Cayetano</t>
  </si>
  <si>
    <t>Hardware y sus componentes internos y externos</t>
  </si>
  <si>
    <t>Tecnología de punta: La computadora del futuro</t>
  </si>
  <si>
    <t>Tecnología, innovación, ¿desarrollo humano?</t>
  </si>
  <si>
    <t>EN ESCENA  | POCHO LEÓN Y ROLI PÉREZ _xD83C__xDFA4_ _xD83D__xDD7A_</t>
  </si>
  <si>
    <t>¿Qué es la pedagogía?</t>
  </si>
  <si>
    <t>¿Qué es y cómo funciona un currículo educativo?</t>
  </si>
  <si>
    <t>Taller sobre contenidos educativos para pizarra digital interactiva IBERTIC</t>
  </si>
  <si>
    <t>Introducción a las Tecnologías de la Información y las Comunicaciones (videolección)</t>
  </si>
  <si>
    <t>EN ESCENA  |  SICOMETAL _xD83C__xDFA4_ _xD83E__xDD1F_</t>
  </si>
  <si>
    <t>Cómo enseñar a leer antes de los 6</t>
  </si>
  <si>
    <t>LA MOTIVACIÓN INICIAL EN CLASE</t>
  </si>
  <si>
    <t>Jholachaap Doctar || Dr.Jholachhap || Morna Entertainment</t>
  </si>
  <si>
    <t>Nasreen Makeup Tutorial | Rahim Pardesi | Desi Tv Entertainment</t>
  </si>
  <si>
    <t>ghgfh</t>
  </si>
  <si>
    <t>Pregnancy Prank - Compilation</t>
  </si>
  <si>
    <t>Chota Imran khan Ko soudi se Geft me kia Mela Entertainment Fun Buner 2019</t>
  </si>
  <si>
    <t>ዛንታ ሃና 3ይ ክፋል -  RBL TV Entertainment</t>
  </si>
  <si>
    <t>Pregnant Vegetable?!</t>
  </si>
  <si>
    <t>Pencilmate's New Look!! - New Pencilmation Cartoons</t>
  </si>
  <si>
    <t>ITZY "달라달라(DALLA DALLA)" M/V</t>
  </si>
  <si>
    <t>Exam Paper Distribution | School Life - Part 1 | Veyilon Entertainment</t>
  </si>
  <si>
    <t>MEDICAL SHOP CUSTOMERS | Veyilon Entertainment</t>
  </si>
  <si>
    <t>Walt Disney Entertainment Logo History</t>
  </si>
  <si>
    <t>Entertainment Act By Jayasri</t>
  </si>
  <si>
    <t>"Hand Off" | Pencilmation Cartoons</t>
  </si>
  <si>
    <t>ALFABETIZACION TECNOLOGICA</t>
  </si>
  <si>
    <t>epic conway's game of life</t>
  </si>
  <si>
    <t>Rexy goes to Mama - Funny Dinosaur Cartoon for Families</t>
  </si>
  <si>
    <t>Internet es el lunar de la educación virtual en Colombia</t>
  </si>
  <si>
    <t>¿Qué es la Educacion Virtual?</t>
  </si>
  <si>
    <t>ULIMA - Desafíos de la educación virtual</t>
  </si>
  <si>
    <t>CIST 2016</t>
  </si>
  <si>
    <t>Las TIC/Ventajas y Desventajas</t>
  </si>
  <si>
    <t>The nightmare videos of childrens' YouTube — and what's wrong with the internet today | James Bridle</t>
  </si>
  <si>
    <t>Brecha digital</t>
  </si>
  <si>
    <t>Educacion Presencial VS Educacion Virtual</t>
  </si>
  <si>
    <t>The first 20 hours -- how to learn anything | Josh Kaufman | TEDxCSU</t>
  </si>
  <si>
    <t>Trucos para jugar al domino - Contar fichas (1 de 2)</t>
  </si>
  <si>
    <t>En dónde enfocar esfuerzos en la Educación a partir del Covid 19</t>
  </si>
  <si>
    <t>La alfabetización digital de alumnos de educación media superior</t>
  </si>
  <si>
    <t>Los Circuitos Agroindustriales en Argentina</t>
  </si>
  <si>
    <t>NO QUIERO HACER LOS DEBERES | Cuento Para Niños.</t>
  </si>
  <si>
    <t>_xD83D__xDCBC_ COMO USAR CANVA PARA PRESENTACIONES: Tutorial Canva  _xD83E__xDD13_</t>
  </si>
  <si>
    <t>¿Cómo mejorar la calidad de la educación en Colombia?</t>
  </si>
  <si>
    <t>THE AMAZING TRIPLE SPIRAL (15,000 DOMINOES)</t>
  </si>
  <si>
    <t>25,000 Dominoes!!!</t>
  </si>
  <si>
    <t>10 Remedios Caseros para la Erisipela | Tratamiento para la Erisipela _xD83D__xDE37_✔✔</t>
  </si>
  <si>
    <t>¿Qué es el PIB? | Así Está la Cosa</t>
  </si>
  <si>
    <t>Robótica, inteligencia artificial y big data, el futuro sustentable del agro (#833 2019-07-20)</t>
  </si>
  <si>
    <t>_xD83D__xDE00_¿Qué es BIG DATA y para qué sirve?</t>
  </si>
  <si>
    <t>Digital Literacy 2014</t>
  </si>
  <si>
    <t>HUGE DOMINO SCREENLINK! (25,000 dominoes!)</t>
  </si>
  <si>
    <t>04_Recreando los lazos sociales: refuerzo de redes de apoyo</t>
  </si>
  <si>
    <t>¿Qué son las #TIC? | Explicado fácil 2021</t>
  </si>
  <si>
    <t>10,000 iPhone 5 Domino</t>
  </si>
  <si>
    <t>Conoce el trabajo del SernamEG para las mujeres de Chile</t>
  </si>
  <si>
    <t>Área Agropecuaria y Agroindustrial</t>
  </si>
  <si>
    <t>INSANE Domino Tricks! (Hevesh5 &amp; MillionenDollarBoy)</t>
  </si>
  <si>
    <t>CÓMO CITAR UN VIDEO DE YOUTUBE EN WORD CON EJEMPLO SEGÚN NORMAS APA SÉPTIMA EDICIÓN (7ma.)</t>
  </si>
  <si>
    <t>IMPORTANCIA DE LA ALFABETIZACIÓN DIGITAL | INFO EDUCATIVA</t>
  </si>
  <si>
    <t>Lengua oral y Lengua escrita</t>
  </si>
  <si>
    <t>Alfabetización (Entrevista)</t>
  </si>
  <si>
    <t>COSAS QUE NO SABIAS DE JULIO MELGAR  | PÁGINA ANUNCIA LO QUE SUCEDERÍA A JULIO MELGAR</t>
  </si>
  <si>
    <t>Las etapas de la Revolución Francesa y los sucesos de 1789</t>
  </si>
  <si>
    <t>Cómo ENTREVISTAR a otras personas</t>
  </si>
  <si>
    <t>Curso de Alfabetización Digital M1-U2: "La importancia de las TIC"</t>
  </si>
  <si>
    <t>Pensamiento Crítico y Creativo</t>
  </si>
  <si>
    <t>¿Qué es la ingeniería industrial?</t>
  </si>
  <si>
    <t>Qué es una comunidad virtual</t>
  </si>
  <si>
    <t>Las redes sociales y el aprendizaje | Compartir en Familia</t>
  </si>
  <si>
    <t>Educlic: La importancia de las TIC's en la educación</t>
  </si>
  <si>
    <t>qué son las  TIC?</t>
  </si>
  <si>
    <t>¿Cuáles son las carreras de mayor futuro?</t>
  </si>
  <si>
    <t>V. Completa. La dieta digital: pautas para educar en el buen uso del móvil. Marc Masip, psicólogo</t>
  </si>
  <si>
    <t>En la era digital, ¡qué tal que sólo nos dedicáramos a enseñar! | Mauricio Mosquera | TEDxCali</t>
  </si>
  <si>
    <t>PQS | La historia del Grupo Romero. Una historia 'Para Quitarse el Sombrero'</t>
  </si>
  <si>
    <t>"SOY VERACRUZ" con Edith González - Turismo.</t>
  </si>
  <si>
    <t>La educación transforma vidas (versión larga)</t>
  </si>
  <si>
    <t>Estudiantes UBB favorecen alfabetización digital de adultos mayores de Chillán Viejo</t>
  </si>
  <si>
    <t>KUWAIT - Small Country, Big Heart / الكويت بلد صغير بقلب كبير | QCPTV.com</t>
  </si>
  <si>
    <t>TRANSFORMACIÓN DIGITAL en las Empresas ¿Necesario?</t>
  </si>
  <si>
    <t>La vinculación entre la escuela y la familia para fortalecer el desempeño escolar</t>
  </si>
  <si>
    <t>A Cada Quien Su Santo - El Milagro de San Honorato</t>
  </si>
  <si>
    <t>CÓMO HACER LA BIBLIOGRAFÍA O REFERENCIAS EN WORD SEGÚN NORMAS APA SÉPTIMA EDICIÓN (7ma) | EJEMPLO</t>
  </si>
  <si>
    <t>OPTIMIZAR Y ACELERAR PC con Windows 10 al MÁXIMO sin programas (MÉTODO 2021) Windows 8 y 7</t>
  </si>
  <si>
    <t>【ESP SUB】 Las Ecuaciones del Amor ♥ EPISODIO 03 ( THE LOVE EQUATIONS)</t>
  </si>
  <si>
    <t>Aprender a Leer</t>
  </si>
  <si>
    <t>Alfabetización digital para un ambiente virtual</t>
  </si>
  <si>
    <t>Alberto Gómez - Ética, valores y sociedad frente al COVID-19</t>
  </si>
  <si>
    <t>¡Ser solidario es cuidar nuestro el planeta! I JFK</t>
  </si>
  <si>
    <t>Como hacer un Ensayo</t>
  </si>
  <si>
    <t>Cuida y mitiga el calentamiento global I JFK</t>
  </si>
  <si>
    <t>5 tips para trabajar la lectoescritura</t>
  </si>
  <si>
    <t>Platos Didácticos para Lenguaje</t>
  </si>
  <si>
    <t>Los retos a los que nos enfrentamos al volver a la presencialidad. I JFK</t>
  </si>
  <si>
    <t>JFK presenta su Tarjeta Débito Afinidad</t>
  </si>
  <si>
    <t>Diálogos Fin de Semana - Vida Digital. Ciudadanía digital (07/12/2019)</t>
  </si>
  <si>
    <t>¿Cómo realizar una clase dinámica?</t>
  </si>
  <si>
    <t>Cuéntame de ti | Hebert Vargas en Vivo Concierto JFK</t>
  </si>
  <si>
    <t>_xD83E__xDDE0_Competencias digitales para PROFESORES</t>
  </si>
  <si>
    <t>El efecto de la pandemia en lo niños I JFK</t>
  </si>
  <si>
    <t>Presentación General Literacidad Digital</t>
  </si>
  <si>
    <t>un pueblo fantasma en Camaná || SONAY Y CHARACTA  AREQUIPA el arrozal</t>
  </si>
  <si>
    <t>ASESORÍA PERSONALIZADA EN ENFOQUE COMUNICATIVO TEXTUAL</t>
  </si>
  <si>
    <t>EL TRABAJO DEL FUTURO MARKETING DIGITAL Versión Completa</t>
  </si>
  <si>
    <t>Acompañamiento Pedagógico</t>
  </si>
  <si>
    <t>Realidad Aumentada- Origen, Evolución y Futuro - DG - 2020</t>
  </si>
  <si>
    <t>Historia de la tabla periodica</t>
  </si>
  <si>
    <t>Recomendaciones para el testimonio introductorio de la ECDF</t>
  </si>
  <si>
    <t>Desarrollo de Proyectos Formativos</t>
  </si>
  <si>
    <t>MOMENTOS Y TIPOS DE EVALUACIÓN</t>
  </si>
  <si>
    <t>Tendencias en el futuro de la educacion superior</t>
  </si>
  <si>
    <t>Monitoreo y Acompañamiento</t>
  </si>
  <si>
    <t>¿Que es Multimedia?</t>
  </si>
  <si>
    <t>Cómo crear Objetos de Aprendizaje en Exelearning - Paso a paso</t>
  </si>
  <si>
    <t>Bibliotecas, TIC y nuevas alfabetizaciones en la sociedad digital</t>
  </si>
  <si>
    <t>NMC Beyond the Horizon :: Digital Literacy</t>
  </si>
  <si>
    <t>Ventajas y Desventajas del Comercio Electrónico</t>
  </si>
  <si>
    <t>La Brecha Digital ¿Una nueva forma de exclusión social?</t>
  </si>
  <si>
    <t>BRECHA DIGITAL- TECNOLOGÍA EDUCATIVA</t>
  </si>
  <si>
    <t>CRITERIOS DE EVALUACIÓN DEL APRENDIZAJE FORMULACIÓN PASOS  Y CARACTERÍSTICAS #1KCreator</t>
  </si>
  <si>
    <t>TRABAJO COLABORATIVO</t>
  </si>
  <si>
    <t>Curso de Computacion Basico 1</t>
  </si>
  <si>
    <t>FRIJOL FINAL</t>
  </si>
  <si>
    <t>Marco europeo de competencias digitales DigComp</t>
  </si>
  <si>
    <t>Criterios de evaluación</t>
  </si>
  <si>
    <t>TICs y Brecha Digital</t>
  </si>
  <si>
    <t>Episodio 11 Berta Braslavsky</t>
  </si>
  <si>
    <t>Educación digital | Maggie Rojano | TEDxAvAcueducto</t>
  </si>
  <si>
    <t>Derechos fundamentales en la era digital | Eloy Velasco | TEDxUDeustoMadrid</t>
  </si>
  <si>
    <t>MÉXICO Y SU BRECHA DIGITAL</t>
  </si>
  <si>
    <t>Una Nutria Amigable</t>
  </si>
  <si>
    <t>Tipos de mapas</t>
  </si>
  <si>
    <t>Cómo escribir oraciones</t>
  </si>
  <si>
    <t>El Afiche</t>
  </si>
  <si>
    <t>Los Mapas</t>
  </si>
  <si>
    <t>¿Cómo jugar un crucigrama?</t>
  </si>
  <si>
    <t>Paisajes natural y cultural</t>
  </si>
  <si>
    <t>Cómo tomar una buena fotografía a mi tarea</t>
  </si>
  <si>
    <t>CURSOS VIRTUALES PERUEDUCA PARA DOCENTES GRATIS</t>
  </si>
  <si>
    <t>La web 2.0</t>
  </si>
  <si>
    <t>¿Qué es Marketing Digital?</t>
  </si>
  <si>
    <t>Alfabetización digital y el futuro de la educación | #ElLadoSocialDeLaEraDigital</t>
  </si>
  <si>
    <t>Módulo 1. Privacidad y seguridad digital</t>
  </si>
  <si>
    <t>Trabajos remunerados y no remunerados</t>
  </si>
  <si>
    <t>Cómo buscar un usuario en el calendario, eliminar una videollamada de meet y agregar un link de zoom</t>
  </si>
  <si>
    <t>Curso: Word para principiante. Video 01</t>
  </si>
  <si>
    <t>Consejos para la defensa del TFG</t>
  </si>
  <si>
    <t>Así funciona la voz de Stephen Hawking: "Utilizo la tecnología para comunicarme y vivir"</t>
  </si>
  <si>
    <t>Cómo crear activos sin dinero | ideas para hacer dinero de la nada</t>
  </si>
  <si>
    <t>Aprender a leer y escribir usando una aplicación o página web - Alfabetización Digital</t>
  </si>
  <si>
    <t>TEMA 1 - INTRODUCCIÓN A LA MACROECONOMIA</t>
  </si>
  <si>
    <t>Alfabetización Digital para la Educación virtual</t>
  </si>
  <si>
    <t>Rúbricas de observación de aula #1 | Ministerio de Educación</t>
  </si>
  <si>
    <t>_xD83D__xDC49_Cómo IMPRIMIR EN 3D _xD83E__xDDE0_ PASO a PASO _xD83D__xDD0D_ [CURSO de IMPRESIÓN 3D]</t>
  </si>
  <si>
    <t>8 Dinámicas de Presentación para Niños (DIVERTIDAS y ÚTILES)_xD83D__xDE04_</t>
  </si>
  <si>
    <t>What are Data and Data Literacy: Study Hall Data Literacy #1: ASU + Crash Course</t>
  </si>
  <si>
    <t>Que es la Realidad Virtual y Realidad Aumentada</t>
  </si>
  <si>
    <t>CURSO DE COMPUTACIÓN BÁSICA para PRINCIPIANTES. APRENDE A USAR UN COMPUTADOR DESDE CERO.</t>
  </si>
  <si>
    <t>_xD83D__xDD34__xD83D__xDC49_ 5 Herramientas para hacer videos animados GRATIS!</t>
  </si>
  <si>
    <t>¿Qué es la transformación digital?</t>
  </si>
  <si>
    <t>HISTORIA DE MACHINE LEARNING | #2 Curso de Introducción a Machine Learning</t>
  </si>
  <si>
    <t>Cómo Crear Videos con Animaciones y Música en Canva (Gratis &amp; Súper Fácil) | Aprende con Diana Muñoz</t>
  </si>
  <si>
    <t>RECURSOS MULTIMEDIA PARTE 1</t>
  </si>
  <si>
    <t>Como hacer vídeos con CANVA</t>
  </si>
  <si>
    <t>Alfabetización Digital en la Sociedad de la Información</t>
  </si>
  <si>
    <t>Crea Videos Animados Online - Rápido y fácil de usar</t>
  </si>
  <si>
    <t>Como armar una computadora PC (teoria + practica)</t>
  </si>
  <si>
    <t>04.-Epistemologia y teoria filosofica del conocimiento</t>
  </si>
  <si>
    <t>Alfabetización mediática e informacional para la ciudadanía del siglo XXI</t>
  </si>
  <si>
    <t>¿Qué es la Modernidad Líquida? - Zygmunt Bauman</t>
  </si>
  <si>
    <t>3 Programas para Crear Actividades Educativas Interactivas y Divertidas</t>
  </si>
  <si>
    <t>CÓMO CITAR PÁGINAS WEB FÁCILMENTE SEGÚN NORMAS APA SÉPTIMA EDICIÓN (7ma.)</t>
  </si>
  <si>
    <t>Educación con equidad y justicia social | Pensar la educación, capítulo 4</t>
  </si>
  <si>
    <t>La Educación en situación de crisis. María Brown.</t>
  </si>
  <si>
    <t>Aprender en la red' Jordi Adell. Curso 'Redes sociales, jóvenes y aprendizaje', marzo 2014</t>
  </si>
  <si>
    <t>Clase de Didáctica Hernan Javier Martínez</t>
  </si>
  <si>
    <t>WEBINAR: "ALFABETISMO DIGITAL" | DOCENTES 2.0</t>
  </si>
  <si>
    <t>La ATENCIÓN TEMPRANA, un derecho de la infancia. Luis Ortigosa.</t>
  </si>
  <si>
    <t>DIDACTICAS Y ENSEÑANZAS DE APRENDIZAJE</t>
  </si>
  <si>
    <t>La copia feliz del Edén - Capítulo III: Educación</t>
  </si>
  <si>
    <t>Concepto de alfabetización</t>
  </si>
  <si>
    <t>APRENDIZAJE UBICUO</t>
  </si>
  <si>
    <t>Educación emocional para tus hijos con Alejandra Huerta</t>
  </si>
  <si>
    <t>Contra la pedagogía. El fracaso de la educación es el fracaso de la democracia</t>
  </si>
  <si>
    <t>Moodle: Asistencia</t>
  </si>
  <si>
    <t>Taller de uso de contenidos digitales para el área de Literatura. Cecilia Magadán y Cecilia Sagol</t>
  </si>
  <si>
    <t>Consejos para el examen profesional | Humberto Gutiérrez</t>
  </si>
  <si>
    <t>1.3 ¿Cuáles son los retos de la escuela digital?</t>
  </si>
  <si>
    <t>EVALUACIÓN FORMATIVA</t>
  </si>
  <si>
    <t>The Pink Panther in "Pinto Pink"</t>
  </si>
  <si>
    <t>Cómo saber si estás con la persona CORRECTA | Psicóloga Maria Elena Badillo</t>
  </si>
  <si>
    <t>La docencia digital: modelos de enseñanza con TIC</t>
  </si>
  <si>
    <t>The Pink Panther in "Little Beaux Pink"</t>
  </si>
  <si>
    <t>Webinar "Diseñar diapositivas impactantes de aspecto profesional" - Gonzalo Álvarez - LIDlearning</t>
  </si>
  <si>
    <t>Moodle: Foro Calificar Foro</t>
  </si>
  <si>
    <t>¿Qué es la nube y cómo funciona (cloud computing)?</t>
  </si>
  <si>
    <t>Makerspaces en bibliotecas : desde la alfabetización informacional a la alfabetización creativa</t>
  </si>
  <si>
    <t>Versión Completa. Educación y crianza respetuosa. Alberto Soler, psicólogo</t>
  </si>
  <si>
    <t>Nativos e inmigrantes digitales - Nuevas miradas sobre una vieja metáfora</t>
  </si>
  <si>
    <t>El Canto como tecnologia linguistica: Maricarmen Camarena at TEDxGuadalajara 2014</t>
  </si>
  <si>
    <t>Retos para el aprendizaje digital</t>
  </si>
  <si>
    <t>Educlic: Riesgos en Internet</t>
  </si>
  <si>
    <t>Paula Sibilia detalló en torno al impacto de la tecnología en la sociedad</t>
  </si>
  <si>
    <t>Alfabetización Mediática y Alfabetización Digital</t>
  </si>
  <si>
    <t>Webinar "Transformación digital: repensando la organización"</t>
  </si>
  <si>
    <t>Educación Digital Crítica</t>
  </si>
  <si>
    <t>Toccata and Fugue in D Minor (Best Version Ever)</t>
  </si>
  <si>
    <t>¿Qué es la Transformación Digital? - Evaluando el contexto</t>
  </si>
  <si>
    <t>Un crimen llamado educación conferencia con Jürgen Klarić</t>
  </si>
  <si>
    <t>Qué es un doctorado</t>
  </si>
  <si>
    <t>Los Maestros. ( Brigada de alfabetización "Si Podemos" / UAQ )</t>
  </si>
  <si>
    <t>Versión Completa. “¿Qué haría Sócrates hoy con un móvil?”. Eduardo Infante, profesor de Filosofía</t>
  </si>
  <si>
    <t>FUCK IT | Jon Dornaletetxe &amp; Max Jensen</t>
  </si>
  <si>
    <t>Cómo el COVID-19 acelera la Transformación Digital en las empresas</t>
  </si>
  <si>
    <t>ACEPTO LAS CONDICIONES. USOS Y ABUSOS DE LAS TECNOLOGÍAS DIGITALES POR: CRISTOBAL COBO.</t>
  </si>
  <si>
    <t>Ideas para que toda la clase te escuche /ElTARRODELOSIDIOMAS</t>
  </si>
  <si>
    <t>Competencias digitales</t>
  </si>
  <si>
    <t>La brecha digital: si no se accede a la tecnología</t>
  </si>
  <si>
    <t>INTERNET Como FUNCIONA? _xD83C__xDF0D_ Red de Redes</t>
  </si>
  <si>
    <t>Cristóbal Cobo | Educación digital | Charlas del Futuro 2020</t>
  </si>
  <si>
    <t>**COVID 19 SPANISH** - resumen visual de la nueva pandemia de coronavirus</t>
  </si>
  <si>
    <t>Tus hijos no te pertenecen - Enric Corbera</t>
  </si>
  <si>
    <t>_xD83D__xDE80_Cómo tener más VISUALIZACIÓNES en tus HISTORIAS de INSTAGRAM +5000 | Cómo ser INFLUENCER 2020 #001</t>
  </si>
  <si>
    <t>La Evolución De Las Tecnologías De Información</t>
  </si>
  <si>
    <t>#TransmisiónEnVivo Cuarta Sesión de Grados</t>
  </si>
  <si>
    <t>Reggaetón viejito para perrear en cuarentena hasta abajo pt. 2</t>
  </si>
  <si>
    <t>Homenaje a estudiantes de último semestre 2021-1</t>
  </si>
  <si>
    <t>¡Bienvenidos Neotomasinos! 2021-II</t>
  </si>
  <si>
    <t>La brecha digital en América Latina y el Caribe</t>
  </si>
  <si>
    <t>Galletas Choco-Chips _xD83C__xDF6A_ Receta || Tan Dulce</t>
  </si>
  <si>
    <t>Vanessa Vargas Calderón - Egresada Tomasina</t>
  </si>
  <si>
    <t>Fiesta de Nuestro Padre Santo Domingo de Guzmán</t>
  </si>
  <si>
    <t>Estrategias de búsqueda de empleo en la era digital. (Rocío Pérez)</t>
  </si>
  <si>
    <t>8 Competencias Digitales que todo profesional debe tener | Nilton Navarro</t>
  </si>
  <si>
    <t>SANTOTO Bucaramanga | Proyecto Escarabajos sobre biotransformación de aguas residuales</t>
  </si>
  <si>
    <t>La HISTORIA de la COMPUTACIÓN en 10 MINUTOS</t>
  </si>
  <si>
    <t>Himno Universidad Santo Tomás 2021</t>
  </si>
  <si>
    <t>#TransmisiónEnVivo Tercera Sesión de Grados</t>
  </si>
  <si>
    <t>#TransmisiónEnVivo Celebración 10 Años del Instituto de Victimología - Semana Por La Paz 2021</t>
  </si>
  <si>
    <t>COMO CREAR UN MAPA MENTAL EN WORD</t>
  </si>
  <si>
    <t>Onboarding Digital - "La Digitalización Financiera 2020"</t>
  </si>
  <si>
    <t>#TransmisiónEnVivo Segunda Sesión de Grados</t>
  </si>
  <si>
    <t>¿Qué es un mapa conceptual y cómo se elabora?</t>
  </si>
  <si>
    <t>8 TRUCOS para Vender Más en Instagram y Facebook _xD83D__xDCF2_ Tips de marketing en Redes Sociales</t>
  </si>
  <si>
    <t>#TransmisiónEnVivo Primera Sesión de Grados</t>
  </si>
  <si>
    <t>#TransmisiónEnVivo Webinar SCRUM</t>
  </si>
  <si>
    <t>Mutaciones ¿Qué son y qué hacen?</t>
  </si>
  <si>
    <t>La historia del CHOCOLATE</t>
  </si>
  <si>
    <t>CURSO DE TELEVISION LCD, LED TV Y PLASMA (1/4)</t>
  </si>
  <si>
    <t>Constitución Peruana: ¿Qué es y para qué sirve?</t>
  </si>
  <si>
    <t>Búsqueda de Información en Google</t>
  </si>
  <si>
    <t>Diferencia entre un motor estándar y un semiautomático</t>
  </si>
  <si>
    <t>Julio Cabero Almenara (parte 1) -Efectos de la tecnología en el aprendizaje y herramientas web 2.0</t>
  </si>
  <si>
    <t>Excel - Crear gráficos estadísticos en Excel según el tipo de datos. Tutorial en español HD</t>
  </si>
  <si>
    <t>¿Qué es una plataforma virtual?</t>
  </si>
  <si>
    <t>Enviar archivos pesados por WeTransfer</t>
  </si>
  <si>
    <t>ALFABETIZACIÓN DIGITAL  - Manuel Area Moreira</t>
  </si>
  <si>
    <t>Presentar en meet. ¿Cómo compartir pantalla y ver a los participantes en meet?</t>
  </si>
  <si>
    <t>¿Qué es el CAMBIO CLIMÁTICO? Causas y consecuencias</t>
  </si>
  <si>
    <t>Almacenamiento en la nube – Ventajas de guardar datos en Cloud</t>
  </si>
  <si>
    <t>¿Qué son los bots de Telegram?</t>
  </si>
  <si>
    <t>Mensajes masivos de Whatsapp, crear lista de difusión 2017</t>
  </si>
  <si>
    <t>COMO CREAR UN GRAFICO EN GOOGLE SHEETS</t>
  </si>
  <si>
    <t>MÚSICA RELAJANTE PARA ALIVIAR EL ESTRES Y LA ANSIEDAD, MÚSICA PARA MEDITAR, RELAJARSE Y DORMIR</t>
  </si>
  <si>
    <t>GLOBALIZACIÓN: [resumen FÁCIL]</t>
  </si>
  <si>
    <t>¿Qué es INTERNET?</t>
  </si>
  <si>
    <t>PORTAFOLIO DIGITAL</t>
  </si>
  <si>
    <t>PRESENTACIÓN DE GOOGLE</t>
  </si>
  <si>
    <t>Conversatorio "Enseñanza de lectura y escritura" de la Dra. Paula Carlino</t>
  </si>
  <si>
    <t>Alejandra Bosco: Herramientas digitales para la educación</t>
  </si>
  <si>
    <t>Bolsas comestibles para los ciervos de Nara, Japón</t>
  </si>
  <si>
    <t>Universidad en Casa - ¿Cómo aprovechar la aplicación Telegram para estudiar desde casa?</t>
  </si>
  <si>
    <t>Conferencia en apoyo a la educación a distancia que brindan los docentes pandemia COVID-19 Parte 1</t>
  </si>
  <si>
    <t>6 TENDENCIAS DEL FUTURO DE LA EDUCACIÓN DIGITAL</t>
  </si>
  <si>
    <t>"Educar En la Era digital": Ángel Pérez Gómez</t>
  </si>
  <si>
    <t>_xD83D__xDCC9_DEUDA PÚBLICA_xD83D__xDCC9_ y consecuencias | Negocios TV</t>
  </si>
  <si>
    <t>Webinar: Tendencias de transformación digital para el 2020</t>
  </si>
  <si>
    <t>Gmail y Meets en tu Teléfono Celular (Smartphone)</t>
  </si>
  <si>
    <t>La importancia de la informática en la sociedad (Informática y tecnológica).</t>
  </si>
  <si>
    <t>Cómo crear una página educativa LMS con Wordpress y Moodle 2020 – Tutorial de Moodle</t>
  </si>
  <si>
    <t>Brecha Digital en México</t>
  </si>
  <si>
    <t>¿Qué son las habilidades digitales para el trabajo, como se pueden evaluar y desarrollar?</t>
  </si>
  <si>
    <t>Evaluación por competencias 2017</t>
  </si>
  <si>
    <t>La importancia de las TIC en el ámbito Laboral,Educativo y en el Hogar</t>
  </si>
  <si>
    <t>CDigital_INTEF Edición 3. Vídeo 2.2. Qué es la competencia digital - Ideas clave</t>
  </si>
  <si>
    <t>La ciudadanía digital: riesgos y oportunidades.</t>
  </si>
  <si>
    <t>¿Qué son las competencias del Siglo XXI?</t>
  </si>
  <si>
    <t>¿Qué es la innovación educativa?</t>
  </si>
  <si>
    <t>Habilidades digitales para adaptarse al siglo XXI</t>
  </si>
  <si>
    <t>El auge de China como una potencia universitaria global</t>
  </si>
  <si>
    <t>Tutorial para crear un aula virtual con MilAulas</t>
  </si>
  <si>
    <t>La oportunidad de personalizar la educación con la tecnología | Victoria Suárez | TEDxDuraznoWomen</t>
  </si>
  <si>
    <t>2.1: Qué es un grupo</t>
  </si>
  <si>
    <t>Formato de calificaciones, asistencia y tutoría</t>
  </si>
  <si>
    <t>La Teoría del Desarrollo Cognitivo de Piaget</t>
  </si>
  <si>
    <t>Ambientes Virtuales de Aprendizaje y sus Modalidades | E-Learning B-Learning, M-Learning</t>
  </si>
  <si>
    <t>GARBANZOS GUISADOS - GARBANZOS CON CHORIZO - CAPITULO 117</t>
  </si>
  <si>
    <t>¡SÓLO EN CHINA! 9 TECNOLOGÍAS QUE TE SORPRENDERÁN</t>
  </si>
  <si>
    <t>Inteligencia Artificial: Definición, Fundamentos, Historia y Avance Actual</t>
  </si>
  <si>
    <t>Sem. "Programa de Investigación Integral en cáncer del Centro de Investigación Biomédica de Oriente"</t>
  </si>
  <si>
    <t>Conferencias inspiradoras | Silvia Congost | Autoestima para el éxito</t>
  </si>
  <si>
    <t>TEMARIO RESUELTO nombramiento docente 2021</t>
  </si>
  <si>
    <t>Sem. Bibl. Archives of Medical Research:  Historia y políticas editoriales de la revista.</t>
  </si>
  <si>
    <t>Educación virtual en tiempos de pandemia?</t>
  </si>
  <si>
    <t>CONFIRMADO Fecha del Próximo Pago de la Pensión para Adultos Mayores de 68 años y más SEP-OCT 2021</t>
  </si>
  <si>
    <t>Windows 10 Tutorial. Conocimientos Básicos</t>
  </si>
  <si>
    <t>¿Qué es el Positivismo? - Bully Magnets - Historia Documental</t>
  </si>
  <si>
    <t>Así es la vida del hombre más conectado del mundo #ElFuturoEsApasionante</t>
  </si>
  <si>
    <t>Qué son las BUENAS PRÁCTICAS encuentro ENTRE ESCUELAS</t>
  </si>
  <si>
    <t>Cómo implementar ABP en la educación virtual</t>
  </si>
  <si>
    <t>La alfabetización inicial en contexto de ASPO - Marina Ferroni y Virginia Jaichenco</t>
  </si>
  <si>
    <t>¿CÓMO FORMAR DOCENTES POR COMPETENCIAS?</t>
  </si>
  <si>
    <t>Mesa 1.  Alfabetización y literacidad</t>
  </si>
  <si>
    <t>LA NUEVA ESCUELA MEXICANA - Ideas importantes</t>
  </si>
  <si>
    <t>Clase 1 alfabetizacion digital - Curso de introduccion al trabajo</t>
  </si>
  <si>
    <t>Historia y aplicaciones de la Realidad Virtual</t>
  </si>
  <si>
    <t>4to Nticx - Alfabetización informática computacional</t>
  </si>
  <si>
    <t>Actividades para mejorar la lectura en primero</t>
  </si>
  <si>
    <t>Estrategias que abren las puertas a la alfabetización</t>
  </si>
  <si>
    <t>Alfabetización Académica: ¿Qué es y cuál es su importancia?</t>
  </si>
  <si>
    <t>¿Qué es la competencia digital?</t>
  </si>
  <si>
    <t>ESTRATEGIA DE APRENDIZAJE VIRTUAL</t>
  </si>
  <si>
    <t>Ecuación cuadrática | Introducción</t>
  </si>
  <si>
    <t>¿QUÉ ES UN MODELO PEDAGÓGICO?</t>
  </si>
  <si>
    <t>Telemedicina IMSS, Conozca su equipo de Teleconsulta</t>
  </si>
  <si>
    <t>Telemedicina IMSS, uso de la interfaz</t>
  </si>
  <si>
    <t>¿Conoces la Revista de Enfermería del IMSS?</t>
  </si>
  <si>
    <t>Misa de hoy ⛪ Sábado 18 de Julio de 2020, Padre Fredy Córdoba - Tele VID</t>
  </si>
  <si>
    <t>ALFABETIZAR ADULTOS: ¿DEBEMOS UTILIZAR FONEMAS?</t>
  </si>
  <si>
    <t>El poder de la atención: Enrique Dubois at TEDxPasseigDesBorn</t>
  </si>
  <si>
    <t>The new digital business | Richard Heaslip | TEDxOxbridge</t>
  </si>
  <si>
    <t>Why Digital Skills Matter | David Timis | TEDxTârguMureș</t>
  </si>
  <si>
    <t>Algo que no pueda encontrar en Google: Álvaro González-Alorda at TEDxUniversidaddeNavarra</t>
  </si>
  <si>
    <t>Constancia como valor de superación: Carlos Llano at TEDxAlcobendas</t>
  </si>
  <si>
    <t>El valor del diseño estratégico: Carmen Bustos at TEDxMoncloa</t>
  </si>
  <si>
    <t>The Art of Stress-Free Productivity: David Allen at TEDxClaremontColleges</t>
  </si>
  <si>
    <t>¿La inteligencia artificial te dejará sin trabajo? | Federico Pascual | TEDxDurazno</t>
  </si>
  <si>
    <t>The science of analyzing conversations, second by second | Elizabeth Stokoe | TEDxBermuda</t>
  </si>
  <si>
    <t>La felicidad se entrena: Mariajo Moreno at TEDxMurcia</t>
  </si>
  <si>
    <t>Haz que suceda: Isra Garcia at TEDxSevilla</t>
  </si>
  <si>
    <t>Para cambiar el mundo, empoderemos a los niños: Roberto Saint Martin at TEDxMexicoCity</t>
  </si>
  <si>
    <t>Media Literacy: Mind Versus Mindful: Peter Komendowski at TEDxDesMoines</t>
  </si>
  <si>
    <t>Levatándome cada día: Albert Llovera at TEDxAndorralaVella</t>
  </si>
  <si>
    <t>El lenguaje de la motivacion: Maria Graciani at TEDxSevilla</t>
  </si>
  <si>
    <t>Three Steps to Transform Your Life | Lena Kay | TEDxNishtiman</t>
  </si>
  <si>
    <t>Potential: Jordan Peterson at TEDxUofT</t>
  </si>
  <si>
    <t>Industria 4.0: una revolución para las personas | Beatriz Gonzalez | TEDxUDeusto</t>
  </si>
  <si>
    <t>Adolescencia: Fernando Alberca at TEDxGijón</t>
  </si>
  <si>
    <t>Forget big change, start with a tiny habit: BJ Fogg at TEDxFremont</t>
  </si>
  <si>
    <t>El motor que mueve el mundo: Juan Martínez Barea at TEDxSevilla</t>
  </si>
  <si>
    <t>Agricultura, Biodiversidad y Cultura: Víctor Flóres at TEDxGuadalajara 2013</t>
  </si>
  <si>
    <t>The power to tell the difference: visual literacy in a visual age | Don Levy | TEDxABQSalon</t>
  </si>
  <si>
    <t>¿Se Puede Entrenar a la Mente para Ser Exitosos?: Gonzalo Le Blanc &amp; Daniel West at TEDxDurazno</t>
  </si>
  <si>
    <t>Imagination: It’s Not What You Think. It’s How You Think | Charles Faulkner | TEDxIIT</t>
  </si>
  <si>
    <t>Cuando emprender es el Camino | Edgar Barroso | TEDxCPH</t>
  </si>
  <si>
    <t>The Secret to Understanding Humans | Larry C. Rosen | TEDxsalinas</t>
  </si>
  <si>
    <t>Literacy is the Answer | John Trischitti | TEDxACU</t>
  </si>
  <si>
    <t>Why TED talks don't change your life much: Neale Martin at TEDxPeachtree</t>
  </si>
  <si>
    <t>El poder positivo del cambio: Mago More at TEDxMoncloa</t>
  </si>
  <si>
    <t>How To Manipulate Emotions | Timon Krause | TEDxFryslân</t>
  </si>
  <si>
    <t>TEDxGalicia - Genis Roca - La sociedad digital</t>
  </si>
  <si>
    <t>La pasión en la lectura la ponen los jóvenes | Sebastián García Mouret | TEDxYouth@Gijón</t>
  </si>
  <si>
    <t>Como tratar con gente difícil: Miguel Furque at TEDxUNCuyo</t>
  </si>
  <si>
    <t>Nanotecnología: David Lago at TEDxGijón</t>
  </si>
  <si>
    <t>How to Get Over The End of a Relationship | Antonio Pascual-Leone | TEDxUniversityofWindsor</t>
  </si>
  <si>
    <t>Transformación digital: un proceso de seducción.  | Daniel Sánchez Reina | TEDxRúaSanFroilán</t>
  </si>
  <si>
    <t>Los superpoderes de los datos | Manuel Enciso | TEDxMálaga</t>
  </si>
  <si>
    <t>Ciudad Fraccionada vs. Ciudad Integrada | Patxi López-Roldán | TEDxCPH</t>
  </si>
  <si>
    <t>Information Literacy  | Kevin Arms | TEDxLSSC</t>
  </si>
  <si>
    <t>How to be socially magnetic | Ben Chai | TEDxSurreyUniversity</t>
  </si>
  <si>
    <t>La estadística, ¿La prostituta de las matemáticas? | Erika Don Juan | TEDxTecdeMtyJuarez</t>
  </si>
  <si>
    <t>A Literate Life | Bridget Shingleton | TEDxDayton</t>
  </si>
  <si>
    <t>Te Quiero Hacer el Humor: Sebastián González at TEDxDurazno</t>
  </si>
  <si>
    <t>"El miedo es de valientes" | Julio de la Iglesia | TEDxAvAcueducto</t>
  </si>
  <si>
    <t>Speaking Up Without Freaking Out  | Matt Abrahams | TEDxPaloAlto</t>
  </si>
  <si>
    <t>Educación con valores y virtudes | Carlos Kasuga | TEDxHumboldtLaHerradura</t>
  </si>
  <si>
    <t>Todos somos uno: Omar Villalobos at TEDxElPaso</t>
  </si>
  <si>
    <t>Atrévete a cambiar un hábito | Yesid Barrera | TEDxUFM</t>
  </si>
  <si>
    <t>Foro virtual La alfabetización de jóvenes y adultos en entornos digitales en el contexto de COVID-19</t>
  </si>
  <si>
    <t>Estamos haciendo educación remota, no virtual</t>
  </si>
  <si>
    <t>20 ideas de negocios rentables originales sorprendentes futuristas tendencias 2021</t>
  </si>
  <si>
    <t>Digital - Alfabetización e inclusión digital (15/05/2021)</t>
  </si>
  <si>
    <t>Ser Adulto Mayor | Rodolfo Collado | TEDxYouth@NidodeAguilas</t>
  </si>
  <si>
    <t>ESI: Afectividad- Emociones básicas</t>
  </si>
  <si>
    <t>25 Mins Aerobic reduction of belly fat quickly - Aerobic dance workout easy steps  | EMMA Fitness</t>
  </si>
  <si>
    <t>Visme en Español. Tutorial: Como crear una presentación</t>
  </si>
  <si>
    <t>PROGRAMA DE ALFABETIZACIÓN DIGITAL MINEDU-CISCO 2017 (PLAN DE TRABAJO)</t>
  </si>
  <si>
    <t>Alfabetización Tecnológica</t>
  </si>
  <si>
    <t>Versión Completa. La alfabetización mediática, Esther Wojcicki</t>
  </si>
  <si>
    <t>Redação - Analfabetismo digital: Um problema no Brasil - Profa. Bela</t>
  </si>
  <si>
    <t>CLASE DEMOSTRATIVA QSM6 _xD83D__xDC68__xD83C__xDFFD_‍_xD83C__xDFEB_ ENTREVISTA VPA (1/2)</t>
  </si>
  <si>
    <t>1- Cómo Planificar una Clase Virtual</t>
  </si>
  <si>
    <t>Tutorial de Computacion Basica para adultos Curso completo windows 10 internet</t>
  </si>
  <si>
    <t>Curso COMPLETO de COMPUTACION desde CERO a AVANZADO en WINDOWS 10 y en internet. Principiantes.</t>
  </si>
  <si>
    <t>5 ERRORES Más Cometidos por los MAESTROS</t>
  </si>
  <si>
    <t>_xD83D__xDCD6_ Control de Asistencia en Google Form</t>
  </si>
  <si>
    <t>Día 1 - INNOVACIÓN 2050: Transformación Digital</t>
  </si>
  <si>
    <t>Alfabetización y Analfabetismo | ¿Qué Es? | Pedagogía MX</t>
  </si>
  <si>
    <t>Alfabetización inicial con el método Sarita</t>
  </si>
  <si>
    <t>Educación en el Perú: ¿Cuál es la situación?</t>
  </si>
  <si>
    <t>Alfabetización Inicial</t>
  </si>
  <si>
    <t>Rosario de liberacion (oraciones en Video)</t>
  </si>
  <si>
    <t>La Santa Misa de hoy | San Isidoro de Sevilla, Obispo y doctor | 26.04.2021 | Magnificat.tv</t>
  </si>
  <si>
    <t>CONFERENCIA: LA INDUSTRIA 4.0 EN LOS NEGOCIOS Y LA SOCIEDAD EN LA ALIANZA DEL PACÍFICO</t>
  </si>
  <si>
    <t>Ciclo 4 Fase 2 Alfabetización Digital</t>
  </si>
  <si>
    <t>Gabrielle Petito and her boyfriend went on a cross-country trip in a converted camper van, but Gabby's mom says she lost contact with her daughter around August 25. 
Gabby's mother reported her daughter missing September 11 and North Port Police said that's when they found the camper van parked at the boyfriend's parents' house in Sarasota County, Florida. 
Now multiple agencies from Florida to New York to the FBI are trying to figure out what happened to Gabby, who was posting about her trip on social media and Youtube before she disappeared. 
Story: https://www.fox13news.com/news/north-port-pd-find-van-used-by-missing-woman-boyfriend-on-cross-country-trip
FOX 13 Tampa Bay brings you the important videos like breaking news, Tampa Bay weather, and local stories. But also plenty of fun stuff, like 'We Live Here' tips, the best of our archives, and all those 'only-in-Florida' stories.
Subscribe to FOX 13 News: https://www.youtube.com/FOX13TampaBay?sub_confirmation=1
Watch more FOX 13 News video: https://fox13news.com/
Watch FOX 13 News live: https://fox13news.com/live
Download our app: https://fox13news.onelink.me/Sd7G?pid=social&amp;c=youtube&amp;af_web_dp=https%3A%2F%2Fwww.fox13news.com%2Fapps
Get our newsletter: https://www.fox13news.com/email</t>
  </si>
  <si>
    <t>Gigi Hadid talks with Emma Chamberlain about being a mom and celebrating American fashion at the Met Gala.
Still haven’t subscribed to Vogue on YouTube? ►► http://bit.ly/vogueyoutubesub
Want to hear more from our editors? Subscribe to the magazine ►► http://bit.ly/2wXh1VW
Check out our new podcast 'In Vogue: The 1990s'  ►► https://link.chtbl.com/iv-yt-description
ABOUT VOGUE
Vogue is the authority on fashion news, culture trends, beauty coverage, videos, celebrity style, and fashion week updates. 
Gigi Hadid on Being a Farm Mom &amp; Celebrating America | Met Gala 2021 With Emma Chamberlain | Vogue</t>
  </si>
  <si>
    <t>Blippi visits a humane society to learn about animals and pets. Learn about animals for children. Your child will learn about dogs, learn about cats, and other fun animals for kids like rabbits and more with Blippi! This fun Blippi video also has the Blippi Pet Song in it! 
If your child loves Blippi videos and Blippi songs they will love this Blippi animals video and this Blippi pet song / Blippi animals song.
For more Blippi videos and Blippi songs be sure to SUBSCRIBE to Blippi at https://youtube.com/Blippi?sub_confirmation=1
Brand New Blippi Episodes Every Saturday!
https://www.youtube.com/watch?v=5_lGysdHLFQ&amp;list=PLzgk_uTg08P-2LCpM-FK-_Mhb7anv2fBY
Website ► https://blippi.com/ 
Facebook ► https://www.facebook.com/Blippi 
Instagram ► https://instagram/blippi 
US Shop ► https://shop.moonbug.com/collections/blippi 
Thanks for watching this Blippi play and learn video with Blippi's songs for toddlers and videos for toddlers.
More educational fun for kids with Blippi: https://www.youtube.com/watch?v=LfuEad93Ap0&amp;list=PLzgk_uTg08P-UbUdr1x0gPdC5tVAixw8_
Learn Machines with Blippi: https://www.youtube.com/watch?v=eTvrSLFWmLo&amp;list=PLzgk_uTg08P_nhILV2WV8LEAeSwOmVqNQ
Learn Colors for Toddlers: https://www.youtube.com/watch?v=ckVB1i7OsUY&amp;list=PLzgk_uTg08P9G2a3Fvm8sQJrrxhRdt_6U
Blippi SInk Or Float: https://www.youtube.com/watch?v=astwv4c_iP0
Blippi Learns About Bubbles: https://www.youtube.com/watch?v=Enbvtr78mqo
Blippi Makes Healthy Fruit Popsicles: https://www.youtube.com/watch?v=CxKN-Aab3U0
Blippi The Pirate! https://www.youtube.com/watch?v=1jDjonQpLz0
Come explore the wonderous world with everybody's best friend, Blippi. How does a recycling truck work? What does a baker do? What is the best playground around? There are so many exciting things to explore and learn. Feed your kids’ curiosity while they learn about vehicles, animals, the natural world and so much more. Blippi helps children‘s understanding of the world and encourages vocabulary development. Blippi loves visiting exciting places such as children’s museums and the zoo! He loves singing, dancing, playing and exploring. His contagious curiosity engages young viewers in learning adventures that help them both grow and develop.</t>
  </si>
  <si>
    <t>Sharing is caring. Will you share toys or foods with friends? ❤
#babybus  #nurseryrhymes #babycartoon #babybusenglish  #kikiandmiumiu #kidssongs  #kidsvideos  #cartoonforkids
(_xD83D__xDD14_) Subscribe to BabyBus for New Videos ❤ ►  ► https://www.youtube.com/channel/UCpYye8D5fFMUPf9nSfgd4bA?sub_confirmation=1
Enjoy watching BabyBus songs and cartoons! _xD83D__xDC95_ _xD83D__xDC76_ _xD83D__xDC95_
1、Nursery Rhymes &amp; Kids Cartoon (All!!) | Kiki and Miumiu | Baby Shark | Fire Truck | Top Playlist - Nursery Rhymes &amp; Kids Songs by BabyBus： https://www.youtube.com/playlist?list=PLPA49Pz3BAxMDFKmtvn9MlPUKmEz2q1D1
2、BabyBus New Cartoon Series | Yummy Foods _xD83C__xDF54_ _xD83C__xDF5F_ _xD83C__xDF66_ _xD83C__xDF69_ _xD83C__xDF79_ | Donut and Cupcake | BabyBus：https://www.youtube.com/playlist?list=PLPA49Pz3BAxOAFxETj88BEflIf_d9Xb5p
3、BabyBus | Car Songs _xD83D__xDE93_ _xD83D__xDE91_ _xD83D__xDE92_ | Cars for Kids, Super Train | Vehicles for Kids：https://www.youtube.com/playlist?list=PLPA49Pz3BAxOIhEYyGI-sPPqImVqshmjU
BabyBus has released four best albums for kids! Best Car Songs, Best Food Songs, Super Rescue Team, and Classics for Kids! 
All the music is available on Spotify, Apple Music, and more!
（_xD83C__xDFB5_） Spotify: https://spoti.fi/3wRHZsr
（_xD83C__xDF4E_）Apple Music:  https://apple.co/3wT2jtp 
Nursery rhymes in English, canciones en inglés para niños, Lagu Anak-anak, nhạc thiếu nhi, Comptines en anglais,Musik Untuk Anak, barnvisorna på engelska, Músicas em inglês para crianças, Gyerekzene, Kinderlieder in Englisch, 英文兒歌, Písničky v angličtině, أناشيد أطفال باللغة الإنجليزية, अंग्रेजी में नर्सरी कविताएं, Barnerim på engelsk, Canzoni per bambini in inglese, Engelse kinderliedjes, Piosenki dla dzieci po angielsku, เพลงภาษาอังกฤษสำหรับเด็ก
Kids Cartoon, Мультик для детей, Cartoon d'enfants, Dibujos Animados Infantiles,Desenhos animados crianças, Phim hoạt hình trẻ em, Kartun Anak-Anak, 卡通, 动画, 動畫, การ์ตูนสำหรับเด็ก,Kinder Cartoon, बच्चों कार्टून, Kartun Kanak-kanak, Kinderen cartoon, Barntecknad, الرسوم المتحركة للأطفال
—————BabyBus—————
At BabyBus, our goal is to make learning a fun experience for kids aged 2 - 5 by creating classic nursery rhymes, kids songs and stories with 2D &amp; 3D animations. Children get to learn good habits, safety knowledge, letters, colors, numbers and more by singing and dancing with our characters! Enjoy watching our videos!
BabyBus helps children to:
★ Think Independently 
★ Build Self-Confidence 
★ Respect Others
★ Explore the World
———————————————
Contact us:
E-mail: en@babybus.com
Website: http://www.babybus.com
_xD83D__xDC4D_Follow us on Facebook: https://business.facebook.com/BabyBusENGLISH/
Copyright ©BABYBUS CO.Ltd All Rights Reserved.</t>
  </si>
  <si>
    <t>Watch the Fortnite Chapter 2 Season 8 Story Trailer and visit https://www.epicgames.com/fortnite/home for more details. 
A new war takes shape. Ready your defenses and cross into The Sideways.
After the Alien Mothership’s destruction, the Cubes crash-landed on the Island. They’ve begun spreading corruption, as well as portals to the dark, monster-filled “Sideways.” Fight for the survival of the Island… before it’s too late.</t>
  </si>
  <si>
    <t>Take flight with Blippi Airlinesas he visits the Museum of Flight in Seattle and learns about planes! 
For more Blippi videos and Blippi songs be sure to SUBSCRIBE to Blippi at https://youtube.com/Blippi?sub_confirmation=1
Brand New Blippi Episodes Every Saturday!
https://www.youtube.com/watch?v=5_lGysdHLFQ&amp;list=PLzgk_uTg08P-2LCpM-FK-_Mhb7anv2fBY
Website ► https://blippi.com/ 
Facebook ► https://www.facebook.com/Blippi 
Instagram ► https://instagram/blippi 
US Shop ► https://shop.moonbug.com/collections/blippi 
Thanks for watching this Blippi play and learn video with Blippi's songs for toddlers and videos for toddlers.
More educational fun for kids with Blippi: https://www.youtube.com/watch?v=LfuEad93Ap0&amp;list=PLzgk_uTg08P-UbUdr1x0gPdC5tVAixw8_
Learn Machines with Blippi: https://www.youtube.com/watch?v=eTvrSLFWmLo&amp;list=PLzgk_uTg08P_nhILV2WV8LEAeSwOmVqNQ
Learn Colors for Toddlers: https://www.youtube.com/watch?v=ckVB1i7OsUY&amp;list=PLzgk_uTg08P9G2a3Fvm8sQJrrxhRdt_6U
Blippi SInk Or Float: https://www.youtube.com/watch?v=astwv4c_iP0
Blippi Learns About Bubbles: https://www.youtube.com/watch?v=Enbvtr78mqo
Blippi Makes Healthy Fruit Popsicles: https://www.youtube.com/watch?v=CxKN-Aab3U0
Blippi The Pirate! https://www.youtube.com/watch?v=1jDjonQpLz0
Come explore the wonderous world with everybody's best friend, Blippi. How does a recycling truck work? What does a baker do? What is the best playground around? There are so many exciting things to explore and learn. Feed your kids’ curiosity while they learn about vehicles, animals, the natural world and so much more. Blippi helps children‘s understanding of the world and encourages vocabulary development. Blippi loves visiting exciting places such as children’s museums and the zoo! He loves singing, dancing, playing and exploring. His contagious curiosity engages young viewers in learning adventures that help them both grow and develop.</t>
  </si>
  <si>
    <t>Subscribe to NFL: http://j.mp/1L0bVBu
Check out our other channels:
Para más contenido de la NFL en Español, suscríbete a https://www.youtube.com/nflenespanol
NFL Fantasy Football https://www.youtube.com/nflfantasyfoo...
NFL Vault http://www.youtube.com/nflvault
NFL Network http://www.youtube.com/nflnetwork
NFL Films http://www.youtube.com/nflfilms
NFL Rush http://www.youtube.com/nflrush
NFL Play Football https://www.youtube.com/playfootball
NFL Podcasts https://www.youtube.com/nflpodcasts
#NFL #Football #AmericanFootball</t>
  </si>
  <si>
    <t>TOP 5 VEHICLE EXPERIENCES! Wing Walking, Monster Trucks, Tanks &amp; driving 200+ mph! Our best Bucket List yet! ► Thanks for subscribing! - http://bit.ly/SubDudePerfect 
► Check out the Behind The Scenes: https://youtu.be/v0n7G4Hrl9Y
GET A BUCKET LIST "BAD BOY" T-SHIRT!
► https://dudeperfect.store/collections/this-bad-boy-collection
Music:
1. The Score - Top of the World
Listen on Spotify: https://open.spotify.com/track/0O7ZVuxzpCYbuZHEOm3jZJ?si=65e4caac109e4e3c
2. The Score - Miracle
Listen on Spotify: https://open.spotify.com/track/6A6PDawvZIfnJHW40sBHzz?si=e6f6df6951004b7f
3. Hardwell⁠ feat. Trevor Guthrie - Summer Air
Listen here: https://revr.ec/HWLSUMMERAIRDP
Monster Truck FPV Drone Pilot IG: Justin Skinner @justinsmash  
Vehicles and Locations!
1. Mason Wing Walking Academy: https://masonwingwalking.com/
2. Ox Ranch Drive Tanks: https://www.drivetanks.com/ 
3. Indianapolis Motor Speedway: https://www.indyracingexperience.com/experiences/experience_types/ride
4. Sea Breacher: https://seabreacher.com/
5. Bristol Motor Speedway: https://www.bristolmotorspeedway.com/ 
NEXT LEVEL STUFF 
-------------------------------------------
_xD83C__xDF92_ NEW Merch - http://bit.ly/DPStore
_xD83C__xDFAE_ Play our FREE iPhone game! - http://smarturl.it/DudePerfect2
_xD83D__xDCF1_ Text us - (469) 205-7005
_xD83D__xDD14_ Hit the bell next to Subscribe so you don't miss a video!
_xD83D__xDC68__xD83C__xDFFB_‍_xD83D__xDCBB_ Watch our newest vids! - http://bit.ly/NewDPVids
_xD83D__xDCD5_ Read our Book - "Go Big" - http://amzn.to/OYdZ2s
Follow our Instagrams so we can be best friends 
-------------------------------------------
_xD83C__xDFC6_ http://Instagram.com/DudePerfect
_xD83E__xDDD4__xD83C__xDFFB_ http://Instagram.com/TylerNToney
_xD83D__xDC71__xD83C__xDFFB_‍♂️ http://Instagram.com/Cody_Jones_
_xD83D__xDE4B__xD83C__xDFFB_‍♂️ http://Instagram.com/CobyCotton
_xD83D__xDC68_‍_xD83E__xDDB0_ http://Instagram.com/GarrettHilbert
⛹_xD83C__xDFFB_‍♂️ http://Instagram.com/CoryCotton
-------------------------------------------
Bonus points if you're still reading this! 
Comment: This bad boy!
Click here to learn more about Dude Perfect:
http://bit.ly/AboutDudePerfect
As always...Go Big and God Bless!
- Your friends at Dude Perfect
Business or Media, please contact us at: 
Dude@DudePerfect.com
------------
5 Best Friends and a Panda.
If you like Sports + Comedy, come join the Dude Perfect team!
Best known for trick shots, stereotypes, battles, bottle flips, ping pong shots and all-around competitive fun, Dude Perfect prides ourselves in making the absolute best family-friendly entertainment possible! Welcome to the crew! 
Pound it _xD83D__xDC4A__xD83C__xDFFB_ Noggin _xD83D__xDE47__xD83C__xDFFB_‍♂️ 
- Dude Perfect</t>
  </si>
  <si>
    <t>Wait for the shooting star with JJ and Tom Tom! Sing along with CoComelon to Twinkle Twinkle Little Star bedtime song for kids! In this educational nursery rhyme compilation and kids songs, you will find some of the most popular CoComelon songs, such as 'Twinkle Twinkle Little Star', 'Yes Yes Playground Song', 'Car Wash Song' and more!
Subscribe for new videos every week!
https://www.youtube.com/c/CoComelon?sub_confirmation=1
Twinkle Twinkle Little Star V2 00:00
ABC Song with Balloons 02:47
Car Wash Song 05:56
The Soccer (Football) Song 08:17
Doctor Checkup Song 11:10
Winter Song (Fun in the Snow) 13:33
Thank You Song 16:12
Yes Yes Playground Song 19:16
Yes Yes Bedtime Song 23:02
Clean Up Trash Song 26:48
The Tortoise and the Hare 29:50
Rain Rain Go Away 33:32
_xD83C__xDF49_Spotify: https://open.spotify.com/artist/6SXTTUJxIVwMbc1POrviTr
_xD83C__xDF49_Apple Music: https://music.apple.com/…/cocomelon-kids-hits-vo…/1489207331
Watch our playlists: 
Family Fun 
https://www.youtube.com/watch?v=jbBbRjs_niM&amp;list=PLT1rvk7Trkw7odS3
Kids Songs by CoComelon
https://www.youtube.com/watch?v=4t5WI5RF67Y&amp;list=PLT1rvk7Trkw6-eCetnOs60kLGdmcHhyj0tPR-3vMf8CuMJN5gP
JJ &amp; Friends
https://www.youtube.com/watch?v=4t5WI5RF67Y&amp;list=PLT1rvk7Trkw4QbgqgSEJjJz3HIewomqdS
Nursery Rhymes in 3D
https://www.youtube.com/watch?v=z3-Tm_aS3N0&amp;list=PLT1rvk7Trkw55UcI5ijZ_4QmsKqYSSXEq
Website ► https://cocomelon.com/ 
Facebook ►https://www.facebook.com/CoComelonKids 
Instagram ►https://www.instagram.com/cocomelon_official/ 
TikTok ► https://www.tiktok.com/@cocomelon_moonbug?lang=en 
US Shop ► https://shop.moonbug.com/collections/cocomelon 
About CoComelon:
Where kids can be happy and smart!
CoComelon’s 3D animation and songs create a world that centers on the everyday experiences of young children. 
In addition to helping preschoolers learn letters, numbers, animal sounds, colors, and more, the videos impart prosocial life lessons, providing parents with an opportunity to teach and play with their children as they watch together.
WEBSITE: http://www.CoComelon.com
FACEBOOK: https://www.facebook.com/CoComelonkids
TWITTER: https://www.twitter.com/CoComelonkids
Copyright Treasure Studio, Inc.  All Rights Reserved.</t>
  </si>
  <si>
    <t>This holiday season, the best gifts come with a bow. _xD83C__xDFF9_  Watch the new trailer for Marvel Studios’ “Hawkeye,” and start streaming the Original Series November 24 on Disney+: https://bit.ly/2XyBSIW
► Subscribe to Marvel on YouTube: http://bit.ly/WeO3YJ
Disney+ and Marvel Studios invite you on an unexpected holiday getaway, unwrapping a brand-new teaser trailer and poster today for “Hawkeye,” a new series set in post-blip New York City. Former Avenger Clint Barton has a seemingly simple mission: get back to his family for Christmas. Possible? Maybe with the help of Kate Bishop, a 22-year-old archer with dreams of becoming a Super Hero. The two are forced to work together when a presence from Barton’s past threatens to derail far more than the festive spirit. 
Starring Jeremy Renner as Clint Barton/Hawkeye and Hailee Steinfeld as Kate Bishop, “Hawkeye” also features Vera Farmiga, Fra Fee, Tony Dalton, Zahn McClarnon, Brian d’Arcy James and newcomer Alaqua Cox as Maya Lopez. Helmed by Rhys Thomas and directing duo Bert and Bertie, “Hawkeye” debuts exclusively on Disney+ on November 24, 2021.
Follow Marvel on Twitter: ‪https://twitter.com/marvel
Like Marvel on Facebook: ‪https://www.facebook.com/marvel
Watch Marvel on Twitch: https://www.twitch.tv/marvel
Reward your Marvel fandom by joining Marvel Insider!
Earn points, then redeem for awesome rewards.
Terms and conditions apply. 
Learn more at https://www.marvel.com/insider?Osocial=YT&amp;CID=MarvelInsider
For even more news, stay tuned to:
Tumblr: ‪http://marvelentertainment.tumblr.com/
Instagram: https://www.instagram.com/marvel
Pinterest: ‪http://pinterest.com/marvelofficial
Reddit: http://reddit.com/u/marvel-official</t>
  </si>
  <si>
    <t>Oh no looks like Cody is sick, sing along and help mum and dad make Cody feel better with the CoComelon Sick Song! Brand new CoComelon nursery rhyme and kids songs every week!
Lyrics:
My little baby, not feeling well?
You have a fever, Daddy can tell
Rest little baby, I’ll care for you
You’ll get well soon, I’ll make sure you do
My little baby, not feeling well?
I hear you coughing, Mommy can tell
Rest little baby, I’ll care for you
You’ll get well soon, I’ll make sure you do
My little baby, not feeling well?
Your nose is running, Mommy can tell
Rest little baby, I’ll care for you
You’ll get well soon, I’ll make sure you do
My little baby, not feeling well?
You had a cold, oh Mommy can tell
Rest little baby, we’ll care for you
You’re feeling better, we’ll care for you
_xD83C__xDF49_Spotify: https://open.spotify.com/artist/6SXTTUJxIVwMbc1POrviTr
_xD83C__xDF49_Apple Music: https://music.apple.com/…/cocomelon-kids-hits-vo…/1489207331
Watch our playlists: 
Family Fun 
https://www.youtube.com/watch?v=jbBbRjs_niM&amp;list=PLT1rvk7Trkw7odS3
Kids Songs by CoComelon
https://www.youtube.com/watch?v=4t5WI5RF67Y&amp;list=PLT1rvk7Trkw6-eCetnOs60kLGdmcHhyj0tPR-3vMf8CuMJN5gP
JJ &amp; Friends
https://www.youtube.com/watch?v=4t5WI5RF67Y&amp;list=PLT1rvk7Trkw4QbgqgSEJjJz3HIewomqdS
Nursery Rhymes in 3D
https://www.youtube.com/watch?v=z3-Tm_aS3N0&amp;list=PLT1rvk7Trkw55UcI5ijZ_4QmsKqYSSXEq
Website ► https://cocomelon.com/ 
Facebook ►https://www.facebook.com/CoComelonKids 
Instagram ►https://www.instagram.com/cocomelon_official/ 
TikTok ► https://www.tiktok.com/@cocomelon_moonbug?lang=en 
US Shop ► https://shop.moonbug.com/collections/cocomelon 
About CoComelon:
Where kids can be happy and smart!
CoComelon’s 3D animation and songs create a world that centers on the everyday experiences of young children. 
In addition to helping preschoolers learn letters, numbers, animal sounds, colors, and more, the videos impart prosocial life lessons, providing parents with an opportunity to teach and play with their children as they watch together.
WEBSITE: http://www.CoComelon.com
FACEBOOK: https://www.facebook.com/CoComelonkids
TWITTER: https://www.twitter.com/CoComelonkids
Copyright Treasure Studio, Inc.  All Rights Reserved.</t>
  </si>
  <si>
    <t>Kendall Jenner talks to Emma Chamberlain about her Givenchy dress, an homage to Audrey Hepburn's iconic look in "My Fair Lady."
Still haven’t subscribed to Vogue on YouTube? ►► http://bit.ly/vogueyoutubesub
Want to hear more from our editors? Subscribe to the magazine ►► http://bit.ly/2wXh1VW
Check out our new podcast 'In Vogue: The 1990s'  ►► https://link.chtbl.com/iv-yt-description
ABOUT VOGUE
Vogue is the authority on fashion news, culture trends, beauty coverage, videos, celebrity style, and fashion week updates. 
Kendall Jenner on Her Classic Hollywood-Inspired Look | Met Gala 2021 With Emma Chamberlain | Vogue</t>
  </si>
  <si>
    <t>Serie Nuevas alfabetizaciones.Tiscar Lara plantea 4 pasos para la alfabetización digital en el aula. Aprender "con" la red y las herramientas digitales, aprender "sobre" la red, aprender "en" la red y aprender "para" desarrollar  nuevos valores .</t>
  </si>
  <si>
    <t>El Grupo de Comunicadores Audiovisuales Chaski -creadores entre otras películas de las conocidas Gregorio y Juliana- conversó con el CONCORTV sobre la producción audiovisual en el Perú, la importancia de educar en la imagen y sonido, y las oportunidades que nos brindan las nuevas tecnologías en la actualidad.</t>
  </si>
  <si>
    <t>Informática Educativa</t>
  </si>
  <si>
    <t>Conoce más acerca de nativos e inmigrantes digitales--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</si>
  <si>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En este Webinar, la Dra. Ana Lucía Paz Rueda, decana de la Escuela de Ciencias de la Educación, nos presenta una forma de entender y asumir en entornos educativos tanto la innovación como la creatividad; propuesta que se aparta de las fórmulas y en cambio se alinea con una racionalidad crítica/reflexiva que tiene en cuenta como trasfondo el fin último de la educación.</t>
  </si>
  <si>
    <t>En el programa de esta semana, vamos hablar sobre un asunto inevitable: tecnologías. Estamos en una era digital y parece que esas herramientas están interrumpiendo el proceso de enseñanza - aprendizaje. Pero hay quienes ven en la tecnología nuevas posibilidades y por eso hacen uso de sus beneficios para darle soporte al sistema educativo. Desde Argentina e Interior de São Paulo conoceremos estrategias creadas por editoras de libros para sumar contenido a sus materiales impresos a través de la plataformas digitales.</t>
  </si>
  <si>
    <t>Los mitos de la educación. Si vivimos en un mundo que está en constante cambio, la educación también debe cambiar. La creatividad es una herramienta fundamental en la enseñanza.  
Es licenciada en Psicología, docente, investigadora, actriz y directora de teatro. Se ha desempeñado como maestra de nivel inicial y primario, profesora de adultos a nivel secundario, alfabetizadora en barrios vulnerables y docente de expresión corporal y teatro para niños, jóvenes y adultos. Es autora de diversas publicaciones sobre enseñanza y convivencia en la escuela. Forma parte del equipo del Área de Inclusión Democrática en las Escuelas del Ministerio de Educación Nacional y también forma parte del programa de Fortalecimiento Institucional de la Escuela Secundaria en la Modalidad de Adultos del Ministerio de Educación de la Ciudad de Buenos Aires. Se desempeña además como vice presidenta del Museo Itinerante e Interactivo de Juegos y Juguetes El Galpón. Su meta es la transformación constante de los escenarios educativos para que éstos puedan promover prácticas democratizadoras y habilitantes de experiencias emancipadoras, sensibles y creativas para niños, jóvenes y adultos.
This talk was given at a TEDx event using the TED conference format but independently organized by a local community. Learn more at http://ted.com/tedx</t>
  </si>
  <si>
    <t>¿Qué es la Neurodidáctica? Podríamos definir La neurodidáctica es una disciplina nueva que se ocupa de estudiar la optimización del proceso de enseñanza – aprendizaje basado en el desarrollo del cerebro, o lo que es lo mismo, es la método que favorece que aprendamos con todo nuestro potencial cerebral. 
Síguenos en:
Twitter: https://twitter.com/mujicas
Instagram: https://www.instagram.com/docentes_20
Google: https://plus.google.com/u/0/+RuthMujica
Web: http://www.docentes20.com/
YouTube: https://goo.gl/jGMxFL (Docentes 2.0)</t>
  </si>
  <si>
    <t>Te invitamos a ver un video para conocer un poco más sobre la mirada de David Buckingham acerca de las tecnologías digitales en la sociedad contemporánea. 
Conocé más sobre David Buckingham: https://davidbuckingham.net/about/</t>
  </si>
  <si>
    <t>Presentación sobre las tendencias actuales de la Educación Superior en América Latina y El Caribe</t>
  </si>
  <si>
    <t>Vídeo 1 de la Unidad 1 del MOOC de @educaINTEF "Uso educativo de la narración digital" #EduNarraMooc. Ediciones 2015 y 2016.</t>
  </si>
  <si>
    <t>Programa emitido el 3 de julio de 2011
Curtis Johnson, consultor educativo, le explica a Punset que la educación está viviendo un proceso de innovación disruptiva. 
Web oficial de Redes:
http://www.rtve.es/alacarta/videos/redes/
Más información sobre la entrevista:
http://www.rtve.es/television/20110629/manera-disruptiva-aprender/444403.shtml
Más información:
"Muchos padres ven que la escuela no funciona" (El País, 4 julio 2011)
http://www.elpais.com/articulo/sociedad/Muchos/padres/ven/escuela/funciona/elpepisoc/20110704elpepisoc_7/Tes
Disrupting Class, by Clayton M. Christensen,Michael B. Horn,Curtis W. Johnson:
http://www.youtube.com/watch?v=iaXmAmj1nb8
Read the first 20 pages of the book here:
http://books.google.com/books?id=wiBcUl44FEcC&amp;pg=PR1&amp;hl=es&amp;source=gbs_selected_pages&amp;cad=3#v=onepage&amp;q&amp;f=false
RECUROS INTERACTIVOS PARA LA PDI:
PIZARRA PROMETHEA
http://www1.prometheanplanet.com/es/
LA PIZARRA DIGITAL
http://peremarques.pangea.org/pdigital/es/propuest.htm
PIZARRA DIGITAL SMART
http://www.mundosmart.com/formacion-certificada-smart-lp-1-50-familia-79/
AYUDAS AL PROFESOR (cursos)
http://www.artigraf.com/news_prensa/decalogo.php
PIZARRAS DIGITALES
http://www.e-vocacion.es/seccion.php?sec=sabermas&amp;tipo=articulo&amp;id=7</t>
  </si>
  <si>
    <t>Seguimos con la sesión de Diálogos Educativos, esta vez conversamos con Gabriela Rodríguez, especialista en Matemática y pedagoga de larga experiencia. Comenzó trabajando con estudiantes de secundaria, pero su interés por entender a qué dificultades se enfrentaban sus estudiantes, la llevo a investigar y reflexionar sobre los aprendizajes vinculados a la matemática desde los primeros años de la Educación Básica. 
Gaby nos dice:
"... El punto de partida para que el chico se motive en aprender Matemática es “conflictuarlo”.  Plantearle el reto, el desafío y recién desde ahí proponerle una serie de peguntas, pero buenas preguntas para que los chicos piensen en varias estrategias para resolver el problema."</t>
  </si>
  <si>
    <t>En este tercer vídeo me centro en la investigacion accion participativa en la docencia para que se de ayuda para tu investigacion cualitativa y logres innovacion educativa
Suscribete a mi canal en el siguiente enlace
https://www.youtube.com/c/alexduveintegral?sub_confirmation=1
Serie completa de investigación acción
https://www.youtube.com/watch?v=kDLeveuPd9w&amp;list=PLzwHKxmnnGPpgM4CR6eWwRB5qyopuyiVu
Facebook: https://www.facebook.com/materialparadocente
Twitter: https://twitter.com/alexduve
WhatsApp: +524432680599
#InvestigaciónAcción #AlexDuve
Bibliografía
Creswell, J. W., &amp; Creswell, J. D. (2018). Research design: qualitative, quantitative, and mixed methods approaches (Fifth edition). Los Angeles: SAGE.
Elliott, J., &amp; Manzano, P. (2005). El cambio educativo desde la investigación-acción. Madrid: Morata.
Kemmis, S., &amp; MacTaggart, R. (1992). Cómo planificar la investigación - acción. Barcelona: Laertes.
Kemmis, S., Robin, M., &amp; Nixon, R. (2013). The action research planner. New York: Springer.
Latorre-Beltrán, A. (2010). La investigación-acción: conocer y cambiar la práctica educativa (1. ed., 10. reimpr). Barcelona: Graó.
McKerman, J., &amp; Amo, T. del. (2008). Investigación-acción y curriculum: métodos y recursos para profesionales reflexivos. Madrid: Morata.
McNiff, J., &amp; Whitehead, J. (2006). All you need to know about action research. Thousand Oaks, CA: Sage Publications.
McNiff, J., &amp; Whitehead, J. (2010). You and your action research project (3rd ed). London ; New York: Routledge.
Putman, S. M., &amp; Rock, T. (2018). Action research: using strategic inquiry to improve teaching and learning. Thousand Oaks, California: Sage Publications, Inc.
Rodríguez Sosa, J. (2005). La investigación acción educativa ¿Qué es? ¿Cómo se hace? (DOXA). Lima, Perú.
Stringer, E. T., Christensen, L. M., &amp; Baldwin, S. C. (2010). Integrating teaching, learning, and action research: enhancing instruction in the K-12 classroom. Thousand Oaks, Calif: Sage.
Miniatura
Fondo
https://pixabay.com/es/illustrations/resumen-luz-resplandor-degradado-1780378/
Mujer
Foto creada por freepik
https://www.freepik.es/foto-gratis/mujer-joven-sonriente-que-senala-dedos-aislados-fondo-blanco_3885468.htm</t>
  </si>
  <si>
    <t>Este video es parte del módulo 1  del curso #educarMOOC «Educar en la escuela: debates acerca de las tecnologías en la enseñanza de hoy»</t>
  </si>
  <si>
    <t>Dima Khatib, directora ejecutiva de AJ+ en Español habla sobre periodismo digital y nuevas narrativas, así como de la importancia de verificar información en el marco de procesos electorales como el que celebrará México en julio próximo.
Suscríbete aquí: http://bit.ly/2aXfDay
Síguenos en:
Facebook: http://bit.ly/2aEpOvE
Twitter: http://bit.ly/2apvcm4
Medium: http://bit.ly/2ay21wz
Google+: http://bit.ly/2b6T1Al</t>
  </si>
  <si>
    <t>Charla ¿Porqué innovar en educación?, Inés Aguerrondo.
Inés Aguerrondo es argentina, graduada en Sociología por la Universidad Católica Argentina, con estudios de posgrado en planificación educativa y en política social. Ex Subsecretaria de Programación del Ministerio de Cultura y Educación de la Nación (1996-99), fue durante 30 años funcionaria técnica de la Unidad de Planeamiento Educativo de dicho Ministerio. Tiene experiencia amplia en planificación educativa y en gestión de reformas e innovación educativa. Es consultora de organismos internacionales, investigadora y autora de numerosos libros y artículos.
This talk was given at a TEDx event using the TED conference format but independently organized by a local community. Learn more at http://ted.com/tedx</t>
  </si>
  <si>
    <t>EDULAB - Aula Invertida con Google
7 de mayo del 2018</t>
  </si>
  <si>
    <t>Un video que explica qué es el pensamiento crítico y cómo desarrollarlo. Este recurso forma parte de la serie Microaprendizaje ¿Qué es? del área Tecnología, producida en el marco del plan Aprender Conectados.</t>
  </si>
  <si>
    <t>"La Cumbre Mundial para la Innovación en Educación":http://www.wise-qatar.org/about-summit arranca estos días en Doha. Unos 1500 expertos y responsables políticos analizarán tanto los temas de máxima actualidad como las preocupaciones del sector. En nuestro programa vamos a ver dos de los proyectos galardonados por sus propuestas originales para resolver los grandes problemas de la educación.
2700 millones de personas viven en el mundo con menos de dos dólares al día, según datos del Banco Mun…
MÁS INFORMACIÓNES: http://es.euronews.com/2015/10/30/dos-proyectos-educativos-innovadores-en-kenia-y-ghana
euronews: el canal de noticias más visto en Europa
¡Abónese! http://www.youtube.com/subscription_center?add_user=euronewses
euronews está disponible en 13 idiomas: https://www.youtube.com/user/euronewsnetwork/channels
En español
Sitio web: http://es.euronews.com
Facebook: https://www.facebook.com/euronews
Twitter: http://twitter.com/euronewses</t>
  </si>
  <si>
    <t>Serie Nuevas alfabetizaciones.La tradición sobre educación en medios nos sirve de puente entre la alfabetización y la alfabetización digital. Internet es una herramienta que facilita la lectura y la producción de textos escritos. El objetivo en el aula debe ser "leer para escribir mejor y escribir para leer mejor".</t>
  </si>
  <si>
    <t>PEM Erwin Gilberto Torres Alvarez
Instituto Nacional de Bachillerato en Computación
Bachillerato en Ciencias y Letras con Orientación en Computación
Secciones A, B, C, D y E</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</si>
  <si>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“Para un niño no hay nada mejor que ver al papá y la mamá reírse juntos, que son amigos, que se abrazan de pronto, o que bailan un bolero. Y otra condición muy importante para que nuestros hijos después, cuando crezcan, puedan amar bien es el tipo de papás y de mamás que tienen, y la relación con ellos”. 
En este vídeo, el psicólogo Walter Riso explica los límites y mitos del amor, que se aprenden en la infancia, y que solo permitirán relaciones sanas en un futuro a través del desarrollo de la dignidad personal. 
Walter Riso es doctor en Psicología, especialista en Terapia Cognitiva y Máster en Bioética, con más de 30 años de experiencia en el ámbito de la psicología clínica y la formación, a través de su cátedra universitaria entre España y Latinoamérica. Es autor de más de 20 textos científicos y de divulgación, traducidos a más de 10 idiomas, que le han convertido en autor superventas de títulos como ‘Pensar bien, sentirse bien’, ‘Filosofía para la vida cotidiana’, o ‘Amar o depender’.
#AprendemosJuntosEnCasa</t>
  </si>
  <si>
    <t>SUBSCRIBE:http://www.youtube.com/tseriesbhakti
Hanuman Bhajan: Hanuman Chalisa (Jai Hanuman Gyan Gun Sagar,
Jai Kapisa Tihun Lok Ujagar) Those who Chant Hanuman Chalisa Regularly with full devotion will definitely have very good Health &amp; Wealth. Chanting the Hanuman Chalisa will relieve any kind of illness or adversity and bring Prosperity in one's life.
Music Label : T-Series
Album: Shree Hanuman Chalisa - Hanuman Ashtak
Singer: Hariharan
Composer: LALIT SEN, CHANDER
Author: Traditional (Tulsi Das)
Doha:         Shree Guru Charan Saroj Raj, Nij Man Mukar Sudhari,
                    Barnau Raghuvar Bimal Jasu, Jo Dayaku Phal Chari.
                    Budhi heen Tanu Janike, Sumirow Pavan Kumar,
                    Bal Buddhi Vidya Dehu Mohi, Harahu Kalesh Bikaar II
Choupai:   Jai Hanuman Gyan Guna Sagar, Jai Kapis Tihun Lok Ujagar, 
                    Ramdoot Atulit Bal Dhamaa, Anjani Putra Pavansut Naamaa.....(Cont.)
If You like the video don't forget to share with others &amp; also share your views.
------------------------------------------------------------------------
♪Full Song Available on♪ BITLINKS
Gaana : http://bit.ly/Shree-Hanuman-Chalisa-Hanuman-Ashtak-Gaana
Hungama : http://bit.ly/Shree-Hanuman-Chalisa-Hanuman-Ashtak-Hungama
Wynk : http://bit.ly/Shree-Hanuman-Chalisa-Hanuman-Ashtak-Wynk
Apple Music : http://bit.ly/Shree-Hanuman-Chalisa-Hanuman-Ashtak-Apple-Music
Amazon Prime Music : http://bit.ly/Shree-Hanuman-Chalisa-Hanuman-Ashtak-Amazon-Prime-Music
Spotify : http://bit.ly/Shree-Hanuman-Chalisa-Hanuman-Ashtak-Spotify
Google Play : http://bit.ly/Shree-Hanuman-Chalisa-Hanuman-Ashtak-Google-Play
Resso : http://bit.ly/SHREEHANUMANCHALISAHANUMANASHTAK-Resso
iTunes : http://bit.ly/Shree-Hanuman-Chalisa-Hanuman-Ashtak-iTunes
Bit.ly Link:
Shree Guru Charan Shree Hanuma https://bit.ly/30lv020
Jai Hunuman Gyan Gun Shree Han https://bit.ly/2HwuKEO
Mahabir Vikram Bajrangi https://bit.ly/2Q1NSy2
Vidyavan Guni Shree Hanuman https://bit.ly/2Jr9xj1
Laye Sanjivan Lakhan https://bit.ly/30v5Qhs
Jab Kuber Digpaal Shree Hanuman https://bit.ly/2JHn8Sr
Ram Rasayan Tumhare https://bit.ly/2VJIRR6
Sankat Kate Mite Sab Pira https://bit.ly/2JnXOBF
Tulasidas Sada Hari Shree Hanuman https://bit.ly/2LXDYiT
Pawan Tanay Sankat Shree Hanuman https://bit.ly/2Qajceg
OPERATOR CODES:
Shree Guru Charan Shree Hanuma:
Vodafone Subscribers Dial 5378660204
Airtel Subscribers Dial 5432115939319
Idea Subscribers Dial 567898660204
Tata DoCoMo Subscribers dial 5432118660204
BSNL (South / East) Subscribers sms BT 8660204 To 56700
BSNL (North / West) Subscribers sms BT 6379694 To 56700
Virgin Subscribers sms TT 8660204 To 58475
MTNL Subscribers sms PT 8660204 To 56789
sms SHCHA1 To 54646
Jai Hunuman Gyan Gun Shree Han:
Vodafone Subscribers Dial 5378660648
Airtel Subscribers Dial 5432115939247
Idea Subscribers Dial 567898660648
Tata DoCoMo Subscribers dial 5432118660648
BSNL (South / East) Subscribers sms BT 8660648 To 56700
BSNL (North / West) Subscribers sms BT 6379678 To 56700
Virgin Subscribers sms TT 8660648 To 58475
MTNL Subscribers sms PT 8660648 To 56789
sms SHCHA2 To 54646
Mahabir Vikram Bajrangi:
Vodafone Subscribers Dial 5378660687
Airtel Subscribers Dial 5432115939286
Idea Subscribers Dial 567898660687
Tata DoCoMo Subscribers dial 5432118660687
BSNL (South / East) Subscribers sms BT 8660687 To 56700
BSNL (North / West) Subscribers sms BT 6379683 To 56700
Virgin Subscribers sms TT 8660687 To 58475
MTNL Subscribers sms PT 8660687 To 56789
sms SHCHA3 To 54646
Vidyavan Guni Shree Hanuman:
Vodafone Subscribers Dial 5378660688
Airtel Subscribers Dial 5432115939248
Idea Subscribers Dial 567898660688
Tata DoCoMo Subscribers dial 5432118660688
BSNL (South / East) Subscribers sms BT 8660688 To 56700
BSNL (North / West) Subscribers sms BT 6379696 To 56700
Virgin Subscribers sms TT 8660688 To 58475
MTNL Subscribers sms PT 8660688 To 56789
sms SHCHA4 To 54646
Ram Rasayan Tumhare:
Vodafone Subscribers Dial 5378660691
Airtel Subscribers Dial 5432115939249
Idea Subscribers Dial 567898660691
Tata DoCoMo Subscribers dial 5432118660691
BSNL (South / East) Subscribers sms BT 8660691 To 56700
BSNL (North / West) Subscribers sms BT 6379689 To 56700
Virgin Subscribers sms TT 8660691 To 58475
MTNL Subscribers sms PT 8660691 To 56789
sms SHCHA7 To 54646
Sankat Kate Mite Sab Pira:
Vodafone Subscribers Dial 5378660203
Airtel Subscribers Dial 5432115939192
Idea Subscribers Dial 567898660203
Tata DoCoMo Subscribers dial 5432118660203
BSNL (South / East) Subscribers sms BT 8660203 To 56700
BSNL (North / West) Subscribers sms BT 6379691 To 56700
Virgin Subscribers sms TT 8660203 To 58475
MTNL Subscribers sms PT 8660203 To 56789
sms SHCHA8 To 54646
Stay connected with us!!!
► Subscribe: http://www.youtube.com/tseriesbhakti
► Like us on Facebook: https://www.facebook.com/BhaktiSagarTseries/
► Follow us on Twitter: https://twitter.com/tseriesbhakti</t>
  </si>
  <si>
    <t>Lista De Canciones:
1.- El Brillo De Mis Ojos
2.- Quizá
3.- Cerca Como El Habla (Feat. Melissa Romero)
4.- Solo El Eco
5.- Algo Más
6.- Jesús (Feat. Marcos Vidal)
7.- Escalera Con Las Nubes
8.- No Me Daba Cuenta
9.- Eras Tú
10.- Tu Bandera
11.- Eres Mi Padre
12.- Crece Más Mi Amor Por Ti
13.- Así Te Anhelo
14.- Cerca De Jesús
15.- Sobre Tu Regazo
16.- Leche y Miel</t>
  </si>
  <si>
    <t>Entrenamiento alfabetización digital para docentes
Comunícate con nosotros:
PBX: 520 4040 -315 4769115 comercial@pipesoft.com.co</t>
  </si>
  <si>
    <t>Conoce las nuevas herramientas digitales web 2.0 que pueden apoyarte en tu práctica diaria en docencia, apoya la alfabetización digital de tus alumnos con estas herramientas que son fáciles de usar, fáciles para crear contenido y sencillas para compartir con tus alumnos.
Encuentra esta y más herramientas que el IMSS pone a tu disposición.
http://innovacioneducativa.imss.gob.mx
Síguenos en las redes sociales:
Facebook: https://www.facebook.com/saberimss
Twitter: https://twitter.com/Saber_IMSS
Derechos Reservados ©, Instituto Mexicano del Seguro Social, Centro Médico Nacional Siglo XXI, Av. Cuauhtémoc No. 330, colonia Doctores, Ciudad de México, 2016.</t>
  </si>
  <si>
    <t>http://www.interconectados.es
http://www.acegen.es
Hola, soy yo ( Diego) otra vez!
Ya sabes lo que dicen ... cuando algo maravilloso ocurre, me dan ganas de contarselo a todo el mundo!  Y el proyecto que estamos creando es una de esas cosas.
La alfabetización digital gratuita para todos los habitantes de España es un proyecto grande e importante!
En Definitiva,... Es algo que tenemos que hacer. Y eso es lo que estamos haciendo nosotros!
¡Hasta pronto!</t>
  </si>
  <si>
    <t>Saber qué es Alfabetización Digital te permitirá ser parte de la transformación digital que vive hoy el mundo. Con Ciudadanía Digital puedes formarte. 
Web: www.ciudadaniadigital.gov.co
Redes sociales: 
Twitter: @CDigitalCo
Instagram: @CiudadaníaDigitalCo</t>
  </si>
  <si>
    <t>Academia de Innovación UdeC y Servicio Nacional del Adulto Mayor (Senama)</t>
  </si>
  <si>
    <t>Lenin Ramírez se apunta un éxito más junto a la banda del momento: Grupo Firme, originarios de Tijuana.
El tema "Yo ya no Vuelvo Contigo" de la autoría de Braulio Fabián Pacheco Acosta y bajo la editora de DEL Publishing Suscribete al canal oficial de DEL Records https://goo.gl/ZNL3ec
El video fue grabado en el Rancho de Lenin Ramírez, entre unos buenos mariscos sinaloenses y botes fríos de cerveza, se armó el ambiente y una gran fiesta durante la grabación del video, donde se percibe la buena vibra y la camaradería de Lenin y el Grupo Firme.
Las empresas de ambos artistas tanto DEL RECODS como MUSIC VIP del Grupo Firme, están muy satisfechas con los resultados obtenidos y seguros de que el público, recibirá de muy buenas ganas esta gran canción y video que se lanza en exclusiva a través de DEL RECORDS. 
MÁS SOBRE LENIN RAMÍREZ
Lenin Ramírez, es el nombre del joven cantautor sinaloense que se dio a conocer en el regional mexicano gracias a su peculiar estilo de componer e interpretar canciones de corte moderno que bien pueden ser escuchadas en varios géneros.
Sigue A Lenin Ramirez: 
Pandora: https://goo.gl/CC1wfF
Spotify: https://goo.gl/xhsv4w
Instagram: https://goo.gl/RFknFr
Facebook: http://goo.gl/dDPjE1
Twitter:  https://goo.gl/Z6IVhF 
http://DelRecords.com
Bajo el respaldo de la disquera DEL Records, el músico originario de Culiacán, Sinaloa, México, debutó en 2015 con su álbum de estudio "Mi conquista", material que incluye temas como 'La Fuga del jefe", "El Famoso Chino Ántrax" y "La Vida del Changuito", entre otras.
En 2016, Lenin recibió un premio BMI por el tema "El Awitado" interpretado por Jorge Valenzuela y en el 2018, obtuvo su primer galardón de 'Premios de la Radio' por el tema "Como Los Vaqueros" mismo que interpreta al lado de otro talento de DEL Records Ulices Chaidez
En el 2019, su álbum "Bendecido" fue nominado a Premios Lo Nuestro como 'Mejor Álbum Sierreño del año', convirtiéndose así en un pionero de esta importante terna que apenas se abrió en los cotizados premios. Dicha producción se llevó el premio al 'Mejor Álbum Regional Mexicano' del 2019
Poco tiempo después, Lenin Ramírez mostró su lado romántico con el lanzamiento de su nuevo sencillo: "Estas ganas de tomar". El tema es de la autoría de los talentosos Horacio Palencia y Giovanni Cabrera, en donde se muestra su lado romántico, faceta poco conocida del intérprete originario de Culiacán, Sinaloa y que se ha convertido en un nuevo éxito en la carrera de este talentoso cantante, una de las cartas fuertes de la disquera DEL Records.
A la par del lanzamiento de "Estas ganas de tomar", el flamante ganador del 'Latin Billboard 2019', en la categoría 'Mejor Álbum Regional Mexicano', por su disco "Bendecido", también dio a conocer el video oficial del tema, producido por el equipo de producción de DEL Estudios, Lenin Ramírez. El video puede ser visto en el canal de YouTube de DEL Records.
Lenin obtuvo una nominación a Los Premios Juventud, dentro del rubro 'La Nueva generación del Regional Mexicano. Además, Ramírez tuvo una destacada participación en conduciendo un segmento del espectáculo.
A principios de septiembre, Lenin Ramírez apareció en la lista de nominados a los Latin American Music Awards, en la categoría: 'Álbum Favorito de Regional Mexicano', por su disco: "Bendecido".
Junto con la salida de "Seguimos Adelante", el ganador del Premio Billboard Latino al Mejor Álbum Regional Mexicano, lanzó, además, el video de "El Rata Güera", un corrido muy "meneado" y "pisteador", muy al estilo de Ramírez que ya se puede apreciar en el canal de YouTube de DEL Records.
Yo Ya No Vuelvo Contigo - (Video Oficial) - Lenin Ramirez ft. Grupo Firme
#LeninRamirez #GrupoFirme #DELRecords</t>
  </si>
  <si>
    <t>Bienvenida de la Academia de Innovación en el centenario UdeC.
Esperamos que, con mucho entusiasmo y energía, seamos parte del propósito del desarrollo sustentable y la innovación de la región del Bío-Bío</t>
  </si>
  <si>
    <t>Watch the Fortnite Chapter 2 Season 8 Battle Pass Trailer and visit https://www.epicgames.com/fortnite/battle-pass/cubed for more details.
This is our Reality and we’re going to save it. We’ve got the best of the best on our side to help us out.</t>
  </si>
  <si>
    <t>Clase de Windows y Ofimática</t>
  </si>
  <si>
    <t>La Corporación Maule Activa y los proveedores de los Supermercados BRYC, entregaron a través de sorteos, 300 becas de Alfabetización Digital en la Región del Maule, durante el 2004. Los capacitados se manifestaron muy satisfechos con los cursos. Realización Christian Salgado E. Comunicador Audiovisual.</t>
  </si>
  <si>
    <t>Nuestras maestras de Pre Kinder, de Ecojardín les dan la Bienvenida.</t>
  </si>
  <si>
    <t>El aprendizaje de la escritura en preescolar es muy importante para el desarrollo del niño, a lo largo del video podrá escuchar a tres maestras quienes les hablaran de las actividades que pueden aplicar en el aula, los niveles de los que consta y el sustento en el programa de educación preescolar.</t>
  </si>
  <si>
    <t>Seminario dictado por la Prof. Marta zamero.</t>
  </si>
  <si>
    <t>Marta Zamero desarrolla en qué consiste la competencia lectora en la alfabetización incial</t>
  </si>
  <si>
    <t>Breve descripción del Metodo Silábico</t>
  </si>
  <si>
    <t>En este vìdeo encontraràs la bienvenida al primer dìa de clases Virtual para preescolar. Es importante iniciar con tu presentación a tus nuevos alumnos, hacerlo con mucho entusiasmo y actitud. compartimos las reglas para tener una clase virtual exitosa y especificar al alumno las recomendaciones que debe considerar antes de iniciar las clases.</t>
  </si>
  <si>
    <t>Bienvenida al primer día de clase virtual a los estudiantes del Subnivel Inicial 4 años. Contiene diálogos y actividades entretenidas para los pequeñines de 3 y 4 años de edad. Gracias por tus  comentarios</t>
  </si>
  <si>
    <t>ECO Learning presenta este curso desarrollado por la UNED, la Universidad de Oviedo y la Universidad de Cantabria sobre Alfabetización Digital para Colectivos en Riesgo de Exclusión Social. Matricúlate de forma gratuita en: http://hub8.ecolearning.eu/course/alfabetizacion-digital-para-personas-en-riesgo-de/</t>
  </si>
  <si>
    <t>** IMPORTANTE INFORMACIÓN EN LA DESCRIPCIÓN **
Con este truco podrás adivinar un número sin importar que números elija la otra persona.
LISTA DE TRUCOS: https://www.youtube.com/watch?v=rW3f_Y7v3gY&amp;list=PLEwR-RTQiRPXTeENpBVsgdV9NRI9T5PB7 
-----------------------------------------
MATH2ME TE REGALA CRÉDITO:
UBER: con el código 30y3c 
AIRBNB: accede a http://bit.ly/alojate
TODAS LAS PROMOS: 
http://bit.ly/2opPhCv
* Códigos válidos únicamente para USUARIOS NUEVOS.
-----------------------------------------
SERVICIO DE WHATSAPP Y PAQUETES
www.math2me.com/tienda
-----------------------------------------
VISITA NUESTROS CANALES HERMANOS:
* Math2meKids: http://youtube.com/math2mekids 
* CONO: https://www.youtube.com/conooficial
* KUKIS GONZALEZ: https://www.youtube.com/kukisgonzalez
* ENDOBIKE: http://bit.ly/2lswqnl
-----------------------------------------
VISITA NUESTRA TIENDA MATH2ME
www.math2me.com/tienda 
NUEVO PAQUETE: https://youtu.be/uzp9LwX55lE
-----------------------------------------
SUSCRÍBETE: http://bit.ly/VN7586 (NO OLVIDES DAR UN ¨LIKE¨)
VISITA: http://math2me.com
FB: http://bit.ly/FBmath2me
INSTAGRAM: http://instagram.com/math2me_ 
Twitter: http://bit.ly/14ql1b7
-----------------------------------------
CONTACTO
DUDAS DE MATE: asesoriasdematecom@gmail.com
NEGOCIOS: holam2m@gmail.com
WHATSAPP: +52.1(55)7750.88.15
-----------------------------------------
(Video explicado por José Andalón)
Help us caption &amp; translate this video!
http://amara.org/v/H5As/</t>
  </si>
  <si>
    <t>Musinetwork School of Music, dentro de su programa permanente de realización de Clases Maestras, Video Clínicas, Entrevistas y Talleres gratuitos, contará con la presencia del joven talento mexicano Arturo Caraza. La Video-Clase de esta edición estará enfocada en la Aplicación práctica de los Arpegios y Escalas, en la cual el Mtro. Caraza muestra ejercicios muy sencillos para tener un mejor control sobre este tema. http://musinetwork.com</t>
  </si>
  <si>
    <t>Introducción al marco teórico del Seminario de Alfabetización Inicial para escuelas rurales.</t>
  </si>
  <si>
    <t>Seminario dictado por la Prof. Marta Zamero.</t>
  </si>
  <si>
    <t>Familiarizar a los docentes de Educación Superior en el uso y manejo del software de edición de texto y animación como una herramienta adicional para la práctica docente al interior del aula-- Created using PowToon -- Free sign up at http://www.powtoon.com/join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</si>
  <si>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profesora Aquilina Fueyo (Universidad de Oviedo) presenta el contenido de la Unidad 3: Alfabetización Crítica Social y Digital, del curso MOOC "Alfabetización Digital para Personas en Riesgo de Exclusión", desarrollado por UNED, Universidad de Oviedo y Universidad de Cantabria para ecolearning.eu</t>
  </si>
  <si>
    <t>INLUGO2014 - Taller de alfabetización digital @blogoff</t>
  </si>
  <si>
    <t>La Mtra. Gabriela Rodríguez Blanco explica las líneas generales y propósitos del PIAD.</t>
  </si>
  <si>
    <t>Vídeo subido por Radio María el 17 de Abril de 2013</t>
  </si>
  <si>
    <t>Reportaje emitido en el programa de Canal Sur Televisión Europa Abierta sobre la alfabetización digital. Un tercio de los europeos no sabe manejar un ordenador y jamás ha navegado por Internet. Bruselas insiste en que las nuevas tecnologías son el motor de la economía de los 27, y propone medidas para cerrar la brecha digital entre generaciones. Europa Abierta visita un centro donde se imparten cursos en los que mayores de 65 años y desempleados, entre otros colectivos,  se ponen al día en Internet. Redactor Paco Oliver</t>
  </si>
  <si>
    <t>Leer para aprender: uso estratégico de la lectura para aprender. En el marco del congreso de Leer.es celebrado del 13 al 15 de Noviembre de 2009. Modera Isabel Solé i Gallart, psicología evolutiva y de la educación. Universidad de Barcelona. Intervienen Liliana Tolchinsky, departamento de educación. Universidad de Barcelona, y Javier Rosales Pardo, Facultad de educación. Universidad de Salamanca.</t>
  </si>
  <si>
    <t>Mesa redonda sobre Alfabetización digital en México durante el 1er Congreso Nacional Santillana.Compartir</t>
  </si>
  <si>
    <t>El profesor Santi Fano (Universidad de Oviedo) presenta el contenido de la Unidad 1: Aprendizaje Ubicuo y Alfabetización Digital del curso MOOC "Alfabetización Digital para Personas en Riesgo de Exclusión", desarrollado por UNED, Universidad de Oviedo y Universidad de Cantabria para ecolearning.eu</t>
  </si>
  <si>
    <t>Mashup con fines educativos realizado por alumnxs y profesorxs del Campus María Zambrano de Segovia (Universidad de Valladolid).
El remix o collage audiovisual está compuesto por una entrevista al profesor de Introducción a las tecnologías de la comunicación Jon Dornaletetxe, la locución del estudiante Rafael Naveiro y la edición de Rafael Barquero Murillo y Haritz Alzola. Los vídeos utilizados han sido capturados con tecnología screencast en Youtube. Estos son sus títulos:
- See how easily freaks can take over your life.
- Amazing mind reader reveals his 'gift'.
- How it Feels [through Google Glass].
- We Are Legion.
- Minority Report.
- Reprap 3D Printers in Action HD.
- [Tutorial] Arduino. Parte 1 [HD][ESPAÑOL].
- Typewriter landscape.
- THE CYBER BULLYING VIRUS.
- Que es el SPAM y como funciona.
- Empire - Social networks, social revolution.
- Social Media Revolution 2013.
- Businesspeople on a busy street in London.
- Wikileaks the best of 2012.
- Future of Screen Technology.
- Let's Compare ( Classic Pac-Man ).
- Creative Commons &amp; Copyright Info.
- Facebook Messenger App Review.
- 2012 Told Through Twitter - Year in Review.
- Dropbox Review_ Proof! I am a paying customer.
- How to set up Social Network feeds on Samsung Galaxy S3 (S III) - Phones 4u.
- Android 4.1 Jelly Bean Walkthrough.
- Google Drive tutorial- What Is Google Drive - lynda.com.
- Adobe Creative Cloud Overview.
- iOS 7 Unveiled -- Official iOS 7 Commercial _ Ad.
- Time lapse HD movie in city life.
- Crowd 24 07 2010. Vadim I. Filimonov.
- University of Toronto - The Centre for Engineering Innovation &amp; Entrepreneurship.
- The MakerBot Replicator 2.
- How It WorksSchool of Professional Communication, Ryerson University.
- Por un internet más rápido, Google Chrome.
- Technology in 2019 - What the future of tech looks like.
- Ubuntu 12.10 brings the web to your desktop.
- Presentación de Windows 8 (NO OFICIAL).
- Cinder Creative Coding.
- Codecademy vs Kahn Academy Computer Science- EdTech TV #3.
- Introducing Video on Instagram.
- iPad Mini Review.
- Learn to Read with iSammy from Backatcha Books for iPad.
- 16-month baby playing with Ipad.
- Time lapse HD movie in city life.
- Super Angry Birds - a Tangible Controller.
- Overlay Scrollbars in Unity - implementation.
- Illucia- a modular codebending instrument.
- Cómo se fabrican memorias Flash.
- Dancing with the Stars.
- We steal Secrets: The history of Wikileaks.
La banda sonora son 'samples' (muestras) de Logic Pro y la edición está hecha con Premiere y el color esta retocado con el plugin Looks.</t>
  </si>
  <si>
    <t>Componente alfabetización digital del Centro de Recursos Virtuales FCSH
Universidad de Antioquia
Vicerrectoría de Docencia
Ude@ - Educación Virtual
Facultad de Ciencias Sociales y Humanas</t>
  </si>
  <si>
    <t>Leído por José Fco. Díaz-Salado en su programa de LA VOZ SILENCIOSA.
Visita su web: http://lavozsilenciosa.net</t>
  </si>
  <si>
    <t>En este video haremos un breve recorrido, a través del tiempo, por los acontecimientos más importantes respecto a la historia de la luz.
Ude@ - Educación Virtual 
Vicerrectoría de Docencia 
Universidad de Antioquia</t>
  </si>
  <si>
    <t>En este video se realizan algunos estados de resultados para un ejercicio ilustrativo utilizando las bases de costeo reales y estándar.
Facultad de ciencias económicas UdeA
Vicerrectoría de Docencia
Ude@ Educación Virtual</t>
  </si>
  <si>
    <t>En este video se realiza la conciliación de utilidades del ejercicio ilustrativo utilizando las bases de costeo reales y estándar.
Facultad de ciencias económicas UdeA
Vicerrectoría de Docencia
Ude@ Educación Virtual</t>
  </si>
  <si>
    <t>Indicaciones paso a paso para realizar el registro biométrico para el simulacro y la prueba piloto del examen de admisión de posgrados de la Facultad de Ingeniería de la Universidad de Antioquia 
Vicerrectoría de docencia 
Ude@, Educación Virtual</t>
  </si>
  <si>
    <t>Animación en la que se presentan brevemente los parámetros para el antes, durante y después en la escritura de una tesis.
Universidad de Antioquia
Vicerrectoría de Docencia
Ude@ Educación Virtual
2021</t>
  </si>
  <si>
    <t>Este video animado hace un breve repaso por las condiciones de la nueva economía de la agricultura, con un mercado que ha crecido anualmente en respuesta a un mayor número de reglas y a una producción impulsada por el crecimiento en varias regiones como Asia y América del sur.
Ude@ Educación virtual 
Vicerrectoría de Docencia 
Universidad de Antioquia</t>
  </si>
  <si>
    <t>Holmes Rodríguez Espinoza, jefe del Centro de Investigaciones agrarias e investigador del Grupo GAMMA, comparte su testimonio sobre la implementación de la estrategia didáctica aprendizaje basado en emprendimiento (ABE) mediado por recursos educativos digitales (RED) y ambientes virtuales de aprendizaje (AVA) en la enseñanza de extensión agropecuaria.
Ude@ Educación virtual 
Vicerrectoría de Docencia 
Universidad de Antioquia</t>
  </si>
  <si>
    <t>La macroeconomía estudia la economía en su conjunto. Estudia los agregados económicos, entre los cuales se pueden encontrar la inflación, el desempleo, el valor de la producción y la tasa de cambio.
En particular, el Producto Interno Bruto (PIB) permite recoger el resultado de los efectos de la innovación. El PIB es el valor de la producción de todos los bienes y servicios en un periodo determinado dentro de las fronteras de un país. Al aumentar la innovación, el PIB crece. 
La tasa de crecimiento del PIB corresponde al crecimiento económico; este factor es el que las economías miden para determinar el dinamismo de la economía.
Universidad de Antioquia
Vicerrectoría de Docencia
Ude@ - Educación Virtual
Facultad de Ciencias Económicas</t>
  </si>
  <si>
    <t>En este vídeo os hablo de las herramientas y apps que más suelo usar en mi día a día del aula; desde aplicaciones para gestión de clase, para diseñar documentos o para examinar a mis alumnos. ¿Qué te parecen? ¿Me recomiendas alguna otra? ¡Déjalo en los comentarios!
_xD83D__xDCD6_ Mi novela, LA VIDA EN UN MINUTO _xD83D__xDD70__xD83D__xDE82_, a la venta en librerías y plataformas digitales ⬇️ http://bit.ly/LaVidaEnUnMinuto_
✅ ¿Quieres colaborar con mi labor desde este canal? HAZTE MECENAS DE PATREON ⬇️  https://www.patreon.com/lacunadehalicarnaso
✅ Suscríbete a La cuna de Halicarnaso ➡️ https://www.youtube.com/channel/UCzDmu6QviXbf0cbeFBh2_zA?disable_polymer=true
✅ Y no te olvides de visitar...
- Twitter: https://twitter.com/cunahalicarnaso 
- Instagram: https://instagram.com/joseanlucero
- Página de Facebook: https://www.facebook.com/cunahalicarnaso/
- Página web: http://www.joseantoniolucero.com</t>
  </si>
  <si>
    <t>En este video se realiza un ejercicio ilustrativo donde se calculan las variaciones de los elementos del costo utilizando las bases de costeo reales y estándar.
Facultad de ciencias económicas UdeA
Vicerrectoría de Docencia
Ude@ Educación Virtual</t>
  </si>
  <si>
    <t>En el contexto académico constantemente nos encontramos con situaciones en las cuales debemos expresarnos ante diversos puntos de vista de manera crítica y reflexiva ¿cómo podemos hacer de esto una experiencia formativa? En este encuentro identificaremos elementos básicos del debate (argumentos, falacias, consensos) para emprender diálogos que posibiliten un aprendizaje mutuo.
Invitado: Luis Rodolfo Jaramillo Botero / Estudiante de Lic. en Educación Básica con énfasis en Ciencias Sociales. Auxiliar del área de apropiación Ude@
Universidad de Antioquia
Vicerrectoría de Docencia
Ude@ - Educación Virtual</t>
  </si>
  <si>
    <t>La Vicerrectoría de Docencia ofrece un acompañamiento a los docentes desde la interacción, la capacitación, la escucha activa y el cuidado emocional, en este momento de coyuntura. Todos los docentes están invitados a vincularse a la iniciativa "Entre colegas", una oportunidad para mantener vivo el espíritu universitario y fortalecer el lazo que nos une como comunidad.
Universidad de Antioquia
Vicerrectoría de Docencia
Ude@ - Educación Virtual</t>
  </si>
  <si>
    <t>El profe Hermes habla de la inferencia. Explica varios conceptos de ella a través de variados ejemplos, y muestra su importancia para la competencia lectora.
Universidad de Antioquia
Vicerrectoría de Docencia
Ude@ - Educación Virtual</t>
  </si>
  <si>
    <t>Vivimos la #LibertadoresFemZL.
Conduce Victoria Walsh. Relata Coco Stadella. Comenta Yoselin Fernández y Fernando Tapia; Javiera de la Peña y Rodrigo Herrera.</t>
  </si>
  <si>
    <t>Conozcamos con TIC aprendo en la U
Conectamos con la U, Vicerrectoría de Docencia
Ude@ Educación Virtual 
Universidad de Antioquia</t>
  </si>
  <si>
    <t>Use Code Lachy for the Season 8 Battlepass!
Subscribe to Lachy Shorts! http://bit.ly/LachyShortsSubscribe
⚡️My APPAREL⚡️ | https://PWR.Supply
❱ Subscribe to PWR ⚡️_xD83C__xDFAE_ | https://bit.ly/PWRsubscribe
❱ Subscribe to Shorts | http://bit.ly/LachyShortsSubscribe
❱ Subscribe to Lachlan | https://bit.ly/LachlanSubscribe
❱ Subscribe to 2nd Channel | https://bit.ly/LachlanPlayzSubscribe
Follow me on:
❱ Twitter | https://twitter.com/LachlanYT
❱ Instagram | http://instagram.com/Lachlan
❱ TikTok | http://TikTok.com/@Lachlan
PWR:
❱ Twitter | https://twitter.com/TeamPWR
❱ Instagram | https://instagram.com/TeamPWR
❱ TikTok | https://www.tiktok.com/@PWR
❱ Twitch | https://twitch.tv/TeamPWRgg
❱ Facebook | https://facebook.com/TeamPWRgg
❱ Website | https://teampwr.gg
My Headset: https://hyperx.gg/Lachy
Music supplied by: 
❱ Epidemic Sounds | http://bit.ly/EpidemicSoundsLachy
❱ MonsterCatMedia | https://www.youtube.com/user/monstercatmedia
❱ Incompetech | http://www.incompetech.com/</t>
  </si>
  <si>
    <t>On Monday, September 13 at 8:55 p.m. PDT, SpaceX launched 51 Starlink satellites from Space Launch Complex 4E (SLC-4E) at Vendenberg Air Force Base in California. 
This was the tenth launch and landing of this Falcon 9 first stage booster, which previously launched the Telstar 18 VANTAGE, Iridium-8, and seven Starlink missions.</t>
  </si>
  <si>
    <t>It was a rude awakening for the Texas Longhorns as they travelled to Fayetteville, Arkansas to face off with the Arkansas Razorbacks. The only thing they left town with besides a loss was the realization that they are most certainly not ready to compete in the SEC.  Lucky for them, there still might be time to sneak in and shred the contract.</t>
  </si>
  <si>
    <t>Everything you love about Dude Perfect.. plus even more!  Be sure to SUBSCRIBE for more behind the scenes, bloopers, and bonus content! ► CLICK HERE: http://bit.ly/DPplusSubscribe
► Click HERE to watch the main video: https://youtu.be/rzi_iXUTuXY
► Click HERE to watch more Behind the Scenes on Dude Perfect Plus: https://www.youtube.com/watch?v=XBh4bnd51c4&amp;list=PLC_fTveW0jTZ-jc2LqY4dvhpyYSuPgNB7&amp;ab_channel=DudePerfectPlus
NEXT LEVEL STUFF 
-------------------------------------------
_xD83C__xDF92_ NEW Merch - bit.ly/DPStore
_xD83C__xDFAE_ Play our FREE iPhone game! - http://smarturl.it/DudePerfect2
_xD83D__xDCF1_ Text us - (469) 205-7005
_xD83D__xDD14_ Hit the bell next to Subscribe so you don't miss a video!
_xD83D__xDC68__xD83C__xDFFB_‍_xD83D__xDCBB_ Watch our newest vids! - http://bit.ly/NewDPVids
_xD83D__xDCD5_ Read our Book - "Go Big" - http://amzn.to/OYdZ2s
Follow our Instagrams so we can be best friends 
-------------------------------------------
_xD83C__xDFC6_ http://Instagram.com/DudePerfect
_xD83E__xDDD4__xD83C__xDFFB_ http://Instagram.com/TylerNToney
_xD83D__xDC71__xD83C__xDFFB_‍♂️ http://Instagram.com/Cody_Jones_
_xD83D__xDE4B__xD83C__xDFFB_‍♂️ http://Instagram.com/CobyCotton
_xD83D__xDC68_‍_xD83E__xDDB0_ http://Instagram.com/GarrettHilbert
⛹_xD83C__xDFFB_‍♂️ http://Instagram.com/CoryCotton
-------------------------------------------
Bonus points if you're still reading this! 
Comment: Which race car would you choose?! Should Cody keep the 'stache?!
Click here to learn more about Dude Perfect:
http://bit.ly/AboutDudePerfect
As always...Go Big and God Bless!
- Your friends at Dude Perfect
Business or Media, please contact us at: 
Dude@DudePerfect.com
------------
5 Best Friends and a Panda.
If you like Sports + Comedy, come join the Dude Perfect team!
Best known for trick shots, stereotypes, battles, bottle flips, ping pong shots and all-around competitive fun, Dude Perfect prides ourselves in making the absolute best family-friendly entertainment possible! Welcome to the crew! 
Pound it _xD83D__xDC4A__xD83C__xDFFB_ Noggin _xD83D__xDE47__xD83C__xDFFB_‍♂️ 
- Dude Perfect</t>
  </si>
  <si>
    <t>ET caught up with professional fighter Conor McGregor after his intense confrontation with Machine Gun Kelly on the VMAs red carpet. The 2021 MTV Video Music Awards aired Sunday, Sept. 12.
Exclusives from #ETonline :
https://www.youtube.com/playlist?list=PLQwITQ__CeH2Y_7g2xeiNDa0vQsROQQgv
#VMA</t>
  </si>
  <si>
    <t>Entre más de medio millón de contagios y 60,000 muertes, México le da la bienvenida a un nuevo ciclo escolar, uno donde las escuelas están vacías, las casas son el salón de clases, la televisión es el nuevo compañero y la desigualdad es la mochila para miles de niños que no cuentan con internet ni computadora.</t>
  </si>
  <si>
    <t>¡Que la tercera edad no se quede excluida de la tecnología! En No memes dedicamos un programa a ver maneras de que esta población reciba lo se merece: lo mejor a través de consejos para integrarse al mundo digital y así, con el mundo.
#TVUNAM
#NoMemes
#DanyKino</t>
  </si>
  <si>
    <t>Debido al confinamiento por el COVID-19, un gran número de personas han vivido la cuarentena en México afectadas por la brecha digital, al carecer de acceso internet. En esta cápsula, el Mtro. Fernando Thompson de la Rosa, Director General de TI en la UDLAP, ahonda en el tema.</t>
  </si>
  <si>
    <t>En estas instancias se hace un levantamiento de problemas de las Personas Mayores y se trabaja paralelamente con los estudiantes de pre grado en el taller de Alfabetización Digital de la Academia de Innovación para que sean ellos quienes instruyan a los adultos mayores con las nuevas tecnologías.</t>
  </si>
  <si>
    <t>✎  CUADRO DE SILABAS PARA IMPRIMIR Y RECORTAR: http://soydocentemaestroyprofesor.blogspot.com.ar/2016/03/cuadro-de-silabas-para-recortar.html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</si>
  <si>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En esta clase conoceremos un poco nuestro teléfono, botones, camara, ficha de carga etc</t>
  </si>
  <si>
    <t xml:space="preserve">este vídeo se hizo con el propósito de dejar una pequeña enseñanza y que métodos poder utilizar para que la gente adulta se le haga mas fácil aprender mediante juegos significativos
</t>
  </si>
  <si>
    <t>Algunos tips para enseñar las vocales a personas adultas.
Espero te sirvan.</t>
  </si>
  <si>
    <t>Un grupo de Adultos Mayores de la Comuna se graduaron en un Taller basico de Alfabetizacion Digital, luego de 15 horas cronologicas en donde se trabajao con procesadores de textos, uso y manejo del Internet, correos electronicos, y lo mas importente la integracion de estas experiecia aprendidas en la su nucleo familiar.-
Gracias a esta iniciativa que apunta a incorporar a personas mayores de 60 años en el proceso de aprendizaje de las nuevas tecnologías y el uso de internet, en dependencias de de la Biblioteca Municipal, segun se informo se seguira trabajanso con este tipo de talleres basicos de alfabetizacion digital principalmente a los adultos mayores en la comuna.-</t>
  </si>
  <si>
    <t>✎ DESCARGAR CARTILLAS PARA IMPRIMIR: https://maestraalbajimenez.blogspot.com.ar/2017/09/cartillas-para-alfabetizacion.html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</si>
  <si>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La tecnología y las redes sociales, son una herramienta que en la actualidad permiten a adultos mayores estar integrados a la sociedad y conectados con sus familias, pese a que parezca difícil, lo cierto es que son tan capaces como cualquiera de aprender a usar las nuevas tecnologías. 
Una herramienta que permite que se conecten con sus familias</t>
  </si>
  <si>
    <t>Es la metodología que promueve Caritas a nivel nacional, es participativa, dinámica y el apredizaje se convierte en significativo, también lo usan la Asociación para la Educación y el Desarrollo Humano - ASEDEH.</t>
  </si>
  <si>
    <t>En Meridia impulsamos la Creación de un Proyecto de Vida en las Personas mayores. Tener un propósito es lo que nos hace sentirnos productivos, satisfechos y felices a cualquier edad.</t>
  </si>
  <si>
    <t>El prof. José Arellano Pérez, coordinador de escuela de Mayores habla de las actividades que se imparten en estos centro de aprendizaje para personas de la tercera edad.</t>
  </si>
  <si>
    <t>Cortometraje que pretende sensibilizar a las personas mayores sobre las ventajas y posibilidades de los ordenadores y de internet.
Este vídeo forma parte de los contenidos digitales elaborados por la Fundación TECSOS mediante el proyecto e-Informa: http://fundaciontecsos.es/e-informa</t>
  </si>
  <si>
    <t>Aplicaciones para editar vídeos desde un celular hay muchas, pero no hay tantas que te permitan obtener un vídeo sin marcas de agua de forma gratuita. Hola que tal yo soy Eduard González y ya que esta herramienta la tiene casi todo el mundo te enseñaré 5 aplicaciones gratis, para editar videos y sin marcas de agua.
Link de VN en Android:
https://play.google.com/store/apps/details?id=com.frontrow.vlog&amp;hl=es_DO&amp;gl=US
Link de VN en el App Store:
https://apps.apple.com/us/app/vn-video-editor/id1343581380
Mi Instagram:
https://www.instagram.com/eduardgonzaal/</t>
  </si>
  <si>
    <t>"Me llamo Carmen" es el título de este documental realizado por el prestigioso realizador argentino Alberto Gauna. El documental ha surgido
del Manual de acogida al nuevo trabajador , elaborado
por más de 40 residentes y trabajadores de la Residencia "El Buen Samaritano", de Cáritas Diocesana de Málaga. Puede ser un magnífico recurso para los nuevos
trabajadores que se disponen a cuidar a personas mayores con
gran dependencia. El personaje de Carmen, interpretado por
una de las residentes del centro, es quien encarna los gustos, deseos y pensamientos de muchísimas personas mayores, con Alzheimer o no, que cuando llegan a la última etapa de su vida tienen, a pesar de sus limitaciones,
posibilidades de realizar muchas tareas.</t>
  </si>
  <si>
    <t>Nuestra capacidad de recordar va disminuyendo a través de los años, por esto es vital entrenar nuestra mente como lo hacemos con nuestro cuerpo día a día. En esta ocasión queremos compartir con ustedes un juego didáctico de estimulación cognitiva que te ayudará a potencializar la percepción y retención de información. Esta actividad fue diseñada por la terapista ocupacional Flor Villamarin. Ven y conoce nuestros servicios en atención especializada a las personas de la tercera edad, llámanos y reserva tu visita. (7) 678 6001 Móvil 321 451 4475 www.acaricampestre.org</t>
  </si>
  <si>
    <t>Neftalí Peñaflor, colaborador de la FES Acatlán, habla de la brecha generacional que se ha hecho con base en el uso de la tecnología.</t>
  </si>
  <si>
    <t>✎ MATERIAL DE APOYO: https://maestraalbajimenez.blogspot.com/2017/08/que-necesito-para-empezar-alfabetizar.html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</si>
  <si>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 Coaching Educativo: Licenciada en Ciencias de la educación: Alba Jiménez.
✎ Para contacto y prensa: alby.jimenez@gmail.com
✎ Suscribete y Comparte. Gracias
► NUESTRAS REDES SOCIALES ◄
→ FACEBOOK: 
www.facebook.com/ParaDocentes
→ Mi blog con temas educativos: soydocentemaestroyprofesor.blogspot.com.ar
→ SLIDESHARE: 
www.slideshare.net/albyjimenez
→Google Plus: https://plus.google.com/113848355916966692984
→Twitter:
twitter.com/AlbaMariluz
→Instagram:
instagram.com/alby.jimenez</t>
  </si>
  <si>
    <t>Cuando hablamos de Alfabetización Digital  ¿realmente sabemos a qué nos referimos? 
¡Con este curso aprenderás a ser un Ciudadano Digital!
FACEBOOK: http://goo.gl/X9CSa8</t>
  </si>
  <si>
    <t>USO DE LAS TIC’s MÁS ALLÁ DE UNA
FORMACIÓN INSTRUMENTAL Y UNA BUENA INFRAESTRUCTURA</t>
  </si>
  <si>
    <t>Ponencia
Dra. Rebeca Garzón Clemente y Dra. Rebeca Román Julián
Congreso Internacional de Investigadores Nóveles
Salto, Uruguay, junio 2013</t>
  </si>
  <si>
    <t>Describe sucintamente la metodologia del curso de Alfabetizacion para adultos. 
Autor: Liliana Virkel.
Continuacion : "Alfabetizacion de adultos, por Liliana Virkel-Clase 1" ( http://www.youtube.com/watch?v=UJXHztP6NxQ )
Visite: http://alfabetizacionadultos.blogspot.com/ . Alli encontrara elementos para comprender mejor la metodologia del curso, y la posibilidad de imprimir los materiales que permiten a los alumnos seguir las actividades que se proponen.</t>
  </si>
  <si>
    <t>Les comparto el siguiente video. Es una clase de Matemáticas, donde la maestra complementa la clase con el uso del iPad.
Espero les sea útil y si tienen ideas pueden compartirlas con los usuarios de la comunidad de Sistema UNO.</t>
  </si>
  <si>
    <t>En el marco de la Década de la Alfabetización 2003-2012, declarada por las Naciones Unidas, el Ministerio de Educación Nacional puso en marcha el Programa Nacional de Alfabetización y Educación Básica para Jóvenes y Adultos, dirigido a personas analfabetas mayores de 15 años. En Colombia, según el censo de 2005 hay 2'375.157 personas iletradas mayores de 15 años (un 8,4% de la población), por eso el Ministerio de Educación se ha propuesto disminuir este número y lograr alfabetizar alrededor de 600.000 personas a 2014, reduciendo la tasa de analfabetismo al 5,7% de la población. 
Para lograr este objetivo se han creado diversas estrategias, entre ellas el diseño y la implementación de diferentes modelos que ofrecen acceso y permanencia en el sistema educativo, a través de contenidos de calidad y pertinentes que les permiten desarrollar y fortalecer sus competencias básicas y ciudadanas. Sin embargo, vincularse de nuevo al sistema educativo representa grandes desafíos para quienes deciden retornar y finalizar este ciclo básico, como la sensación de que a cierta edad ya no podemos aprender cosas nuevas o que estos conocimientos no son necesarios. Por esto, Escuela Colombia encontró tres historias inspiradoras, llenas de curiosidad, dedicación y que sobretodo nos cuenta que la educación también puede transformar positivamente a todas las personas independientemente de la edad y su situación social. Bienvenidas y bienvenidos a Escuela Colombia, educación de calidad que se ve, se oye y se comparte.</t>
  </si>
  <si>
    <t>Recorridos de Formación Docente - Dirección General de Escuelas.</t>
  </si>
  <si>
    <t>Serie Nuevas alfabetizaciones.La alfabetización digital implica "leer y escribir" en otros lenguajes y con otras herramientas. La escuela debe abordarla de manera transversal.</t>
  </si>
  <si>
    <t>Dinámica: Cartero 
Temática: Conocer a los participantes y presentarse de forma divertida frente al grupo. 
Duración aproximada: 20 minutos
Número de participantes sugerido: 10 en adelante
Material: Beba o pelota 
Para más talleres o dinámicas contáctanos en hola@re2055.com o www.facebook.com/GRUPORE</t>
  </si>
  <si>
    <t>Como parte de las actividades del programa Educación Sustentable para Adultos Mayores (ESAM). se impartió un curso intersemestral sobre seguridad y alfabetización digital para adultos mayores. La Mtra. Grisel Corral Aguayo nos habló sobre las actividades del programa.
Para ver más videos visita imagentv.uabc.mx</t>
  </si>
  <si>
    <t>E 8 de septiembre se conmemora el Día Internacional de la Alfabetización; aún hay 4.2 millones de mexicanos que no saben leer ni escribir. Irene Martínez Raymundo y Concepción Ramírez Mejía no sabían leer y escribir, con apoyo del INEA, una de ellas ya terminó la secundaria.
Suscríbete aquí: http://bit.ly/2aXfDay
Síguenos también en:
Facebook: http://bit.ly/2faLJ2A
Twitter: http://bit.ly/2fyP1cY
Instagram: http://bit.ly/2fUXzPR
Medium: http://bit.ly/2faPjtw
Google+: http://bit.ly/2b6T1Al</t>
  </si>
  <si>
    <t>✐     ¿Cómo aprender a leer y escribir online?
Este curso está orientado a personas que no sepan escribir o leer de forma parcial o completa.
Si conoces a alguien que necesite realizar este aprendizaje, provéele esta lista de reproducción para facilidad de aprendizaje:  https://www.youtube.com/playlist?list=PL3weZoli3qhA2HIxhIxHXTTgbdfQyhdYa
 Si tienes preguntas escríbelas en los comentarios.
* Donaciones: Si alguien quiere hacer una donación, este es el enlace para apoyar este proyecto educativo: paypal.me/AlbaJimenezAyala   
Gracias, tu apoyo se traducirá en más vídeos y cursos para tu aprendizaje. 
¿Quién soy? Asesora Educativa, licenciada en ciencias de la educación: Alba Jiménez.
✎ Contacto: soydocentemaestroyprofesor@gmail.com
► NUESTRAS REDES SOCIALES ◄
→ TIK TOK
https://vm.tiktok.com/ZSaAhnaV
→ FACEBOOK: 
www.facebook.com/ParaDocentes
→INSTAGRAM:
https://www.instagram.com/soydocenteblog
→ WEB: www.soydocentemaestroyprofesor.com
→TWITTER:
twitter.com/Soydocenteblog
→ LINKEDIN: 
https://www.linkedin.com/in/albajimenez</t>
  </si>
  <si>
    <t>Follow us on Facebook: https://www.facebook.com/WoundedBirdsSeries
Síguenos en Facebook: https://www.facebook.com/WoundedBirdsEnEspanol
تابعنا على الفيسبوك  https://www.facebook.com/WoundedBirdsArabic
_xD83D__xDCCC_ Suscribir / Subscribe: https://bit.ly/2CMOIcF
Wounded Birds gira entorno a un hermano y hermana divididos entre dos mundos: las terribles calles donde nacieron y la lujosa finca de la familia Metehanoglu. Meryem es una joven fuerte y hermosa quien ha pasado los últimos cinco años criando a su “pequeño hermano” Omer. Ella era casi una adolescente cuando alguien le entregó a Omer al miserable de su padre, Durmus. Él intentó vender al niño, pero fue llevado a prisión antes de que pudiera completar la venta. Meryem está determinada a mantener a Omer lejos de las calles y trabaja día y noche para que ambos puedan tener una vida decente. Lo que ella no sabe es que el niño es el hijo de un influyente industrial y que fue secuestrado en una lucha de poder por el control del imperio familiar. El vínculo de regreso al mundo de su padre biológico, lleva a que Omer y Meryem comiencen una aventura cuando inesperadamente conocen a Levent, un hombre que creía que nunca más volvería a ver a su hijo.
#yaralikuslar
#woundedbirds
#LeventMeryem</t>
  </si>
  <si>
    <t>Conoce las últimas noticias relacionadas con el área de la salud a través de la edición especial del Noticiero Científico y Cultural Iberoamericano.  
Contenido:
1.- Pérdida de memoria y paranoia, entre los efectos neurológicos de la COVID-19
2.- Argentina, el primer país latinoamericano en producir la vacuna Sputnik V
3.- Vacuna francesa de Sanofi contra COVID-19, estará lista a finales del 2021
4.- Vacunación obligatoria en Moscú para trabajadores del sector de servicios
5.- China planea reforzar a su población con una dosis de Pfizer
6.- Hungría vacuna a los adolescentes y contempla inmunizar a los niños
7.- Cuba amplía ensayos clínicos en niños con sus vacunas contra COVID-19
8.- AstraZeneca asegura que su vacuna es segura y muy eficaz
9.- Abdala, la vacuna cubana que da esperanza a América Latina
10.- El consumo de tabaco en Honduras se incrementó debido al confinamiento
Nota: La publicación del Noticiero Científico y Cultural Iberoamericano en las redes de ImagenUABC.tv es parte de una colaboración entre la Asociación de Televisión Educativa Iberoamericana (ATEI) y la Universidad Autónoma de Baja California (UABC).</t>
  </si>
  <si>
    <t>Conoce las últimas noticias sobre los acontecimientos científicos y culturales en el mundo a través del Noticiero Científico y Cultural Iberoamericano.  
Contenido: 
1. La NASA estudia los efectos de las partículas de aerosol
2. El Valle de México, en crisis por el abasto de agua
3. ¿Qué hace falta para que haya más mujeres en la ciencia?
4. Virgin Galactic lanza con éxito su tercer vuelo de prueba al espacio
5. La Torre Eiffel es iluminada con hidrógeno libre de carbono
6. Empresa colombiana crea viviendas con plástico reciclado
7. TikTok como herramienta educativa que fomenta la creatividad y curiosidad
8. Pasado y presente de Grecia conectados con una nueva ruta turística
9. La Linterna, una antigua imprenta que renació con el arte
Nota: La publicación del Noticiero Científico y Cultural Iberoamericano en las redes de ImagenUABC.tv es parte de una colaboración entre la Asociación de Televisión Educativa Iberoamericana (ATEI) y la Universidad Autónoma de Baja California (UABC).</t>
  </si>
  <si>
    <t>Conoce las últimas noticias sobre los acontecimientos científicos y culturales en el mundo a través del Noticiero Científico y Cultural Iberoamericano.  
Contenido: 
1. El cambio climático podría generar huracanes más destructivos
2. “Moonlight” y su misión de crear una constelación de satélites lunares
3. Patricia Souza, la historiadora que ganó una beca de la OEI
4. “Google Earth” añade una capa temporal para observar la evolución de la Tierra
5. La agroecología, una práctica que mejora el uso del suelo
6. Presentan libro acerca de la educación superior en tiempos de pandemia
7. El músico portugués Rão Kyao estrena disco inspirado en la no violencia
8. La nostalgia del vinilo impulsa tiendas durante la pandemia
9. NCC Iberoamérica: La colaboración como columna vertebral
Nota: La publicación del Noticiero Científico y Cultural Iberoamericano en las redes de ImagenUABC.tv es parte de una colaboración entre la Asociación de Televisión Educativa Iberoamericana (ATEI) y la Universidad Autónoma de Baja California (UABC).</t>
  </si>
  <si>
    <t>¿Quieres saber lo que puedes encontrar en el Taller Gritabocas? Ve este resumen y conoce lo que podrás encontrar en el taller gritabocas.
Ve el video del taller completo en:
https://youtu.be/UzIybb6Rz8U</t>
  </si>
  <si>
    <t>Alfabetizacion digital en la inclusión social de los adultos mayores del centro del adulto mayor de EsSalud del distrito de San Isidro, 2016
Laura Nicole Caballero Teniente
Universidad Alas Peruanas, Lima, Perú</t>
  </si>
  <si>
    <t>Conoce las últimas noticias sobre los acontecimientos científicos y culturales en el mundo a través del Noticiero Científico y Cultural Iberoamericano.  
Contenido: 
1. Un cronista de Jalisco conserva un fósil de gliptodonte de 3.9 millones de años
2. Un laboratorio Centralizado para Medición de Inmunidad contra la COVID-19 está en
México
3. Las llanuras aluviales podrían rescatar al Danubio del cambio climático
4. En Colombia invocan al cóndor, el ave más emblemática de los Andes
5. Controversia en Roma por una máquina expendedora de pizzas
6. “Bienvenidos a España”, un documental sobre la migración
7. Casa de Leonora Carrington es convertida en un museo
8. Con rap y poesía, los kenianos buscan una país sin violencia policial
9. Guatemala celebra la llegada del solsticio con un torneo de pelota Maya
Nota: La publicación del Noticiero Científico y Cultural Iberoamericano en las redes de ImagenUABC.tv es parte de una colaboración entre la Asociación de Televisión Educativa Iberoamericana (ATEI) y la Universidad Autónoma de Baja California (UABC).</t>
  </si>
  <si>
    <t>Comenzamos la Serie sobre Masas Caseras con esta receta básica para preparar todo tipo de tartas saladas, incluyendo la famosa “Tarta Pascualina”.
Esta masa queda muy crocante, es super sencilla, rápida y económica! Se prepara en pocos minutos y rinde para dos tapas de aproximadamente 24 centímetros de diámetro (base y tapa, o dos bases).
Se puede congelar sin problemas, y si lo prefieren pueden reducir las cantidades a la mitad, para preparar solamente una base. Manos a la obra!
Ingredientes:
Harina de trigo común: 500 gramos
Aceite neutro o de oliva: 50 ml
Sal: 1 cucharada
Agua bien bien fría: Cantidad necesaria para unir la masa, aproximadamente 250-300 ml
Tarta de Verduras: 
https://www.youtube.com/watch?v=vjrqfMJgwqw
No olvides regalarme un "like" / "me gusta" si este video te ha gustado! 
SUSCRIBETE AL CANAL Y NO TE OLVIDES DE ACTIVAR LA CAMPANITA PARA RECIBIR TODAS LAS NOTIFIACIONES!
.......................................................................................................................
REDES SOCIALES DE LACOCINADERA:
FACEBOOK:
http://www.facebook.com/pages/Lacocinadera/193054157504432
INSTAGRAM:
https://www.instagram.com/lacocinadera/
TWITTER:
 https://twitter.com/laCocinadera
.......................................................................................................................
PARA CONSULTAS COMERCIALES:
lacocinadera@hotmail.com</t>
  </si>
  <si>
    <t>Conoce las últimas noticias sobre los acontecimientos científicos y culturales en el mundo a través del Noticiero Científico y Cultural Iberoamericano.  
Contenido: 
1. Ver un eclipse con una caja de cereal ¿es posible?
2. La señora de Cao, la mujer más poderosa del Antiguo Perú
3. Colombia apuesta por proyectos generadores de energía eólica
4. El Zoológico de Guadalajara protege a sus animales y al personal de la COVID-19
5. Cárcel autosostenible en El Salvador, donde reclusas producen sus alimentos
6. El FSUPV Team presenta dos nuevos coches; uno de conducción autónoma
7. El teatro Teresa Carreño en Caracas vuelve a abrir sus puertas
8. La UPV recibe la IX Muestra de Producciones Artísticas y Multimedia
9. Nueva York vuelve a la normalidad después de ser epicentro de la pandemia
Nota: La publicación del Noticiero Científico y Cultural Iberoamericano en las redes de ImagenUABC.tv es parte de una colaboración entre la Asociación de Televisión Educativa Iberoamericana (ATEI) y la Universidad Autónoma de Baja California (UABC).</t>
  </si>
  <si>
    <t>Conoce el origen de los gritabocas y algunas técnicas de bordado para realizar el tuyo en casa con la Psic. Lilian Paola Ovalle.</t>
  </si>
  <si>
    <t>Conoce las últimas noticias relacionadas con el área de la salud a través de la edición especial del Noticiero Científico y Cultural Iberoamericano.  
Contenido: 
1.- ¿Te sientes mal y no sabes si es COVID-19?
2.- El antes y después de la pandemia en Guayaquil
3.- Habilitan estudios de cine italianos como centros de vacunación.
4.- La lenta vacunación contra la COVID-19 en Honduras
5.- EE.UU y la carrera por vacunar lo más rápido posible a su población
6.- ¿Por qué y para qué nos deprimimos?
7.- Tres científicas panameñas destacan en los estudios de las células madre
8.- Bolivia entrega a hospital generador de oxígeno para atender la demanda 
Nota: La publicación del Noticiero Científico y Cultural Iberoamericano en las redes de ImagenUABC.tv es parte de una colaboración entre la Asociación de Televisión Educativa Iberoamericana (ATEI) y la Universidad Autónoma de Baja California (UABC).</t>
  </si>
  <si>
    <t>#Redacción
Aprende a redactar bien con estos 5 consejos
VÍDEOS QUE TE GUSTARAN:
MI EXPERIENCIA ESTUDIANDO PSICOLOGÍA
https://www.youtube.com/watch?v=PQnLR...
LO QUE DEBES SABER ANTES DE ESTUDIAR PSICOLOGÍA: https://www.youtube.com/watch?v=VnG4E...
DESCUBRE SI ES MOMENTO DE TERMINAR TU RELACIÓN 
https://www.youtube.com/watch?v=d5VqH...
PARA CONOCERNOS
.
Facebook - https://www.facebook.com/mariapablaa/...
Instagram - https://www.instagram.com/mariapabla_/ 
Twitter - https://twitter.com/mariapabla_ 
- - - - - - - - - - - - - - - - - - - - - - - - - - - - - - - - - - - - - - - - - - - - -</t>
  </si>
  <si>
    <t>Show de Chotoxx Rivera en Jornada de Universidad = Diversidad</t>
  </si>
  <si>
    <t>Andragogía ¿cómo aprenden los adultos? | Teorías del Aprendizaje | Dr. Cesar Orsini
--------------------------------------------------------------------------------------
Introducción a la Educación en las Ciencias de la Salud (EDUCSA) | Revísalo en este video: https://youtu.be/oEP3Uuljfo8
--------------------------------------------------------------------------------------
Evaluación de asignaturas- ¿Cómo evaluar la efectividad de mi curso? Revísalo en este video: https://youtu.be/XqLwA2jtGpA
--------------------------------------------------------------------------------------
Práctica Docente basada en la Evidencia -Parte 1- ¿Por qué y dónde buscar evidencia en Educación en Ciencias de la Salud? Revísalo en este video: https://youtu.be/qw3l8mu-zBE
--------------------------------------------------------------------------------------
#Docencia #MedEd #EducaciónMédica</t>
  </si>
  <si>
    <t>Durante la jornada de Universidad = Diversidad, se presentó un panel de reflexión Drag, con Chechenia y Chotoxx Rivera. 
Disfruta del panel completo:</t>
  </si>
  <si>
    <t>Cuando los medios nos presentan historias donde elementos de la naturaleza parecen actuar premeditadamente contra nosotros cual villano, es tiempo de detenernos y reflexionar sobre cómo se construyen estos relatos y cómo pueden afectar nuestra percepción del mundo. Acompáñanos en #VitaminaC donde la C es de Ciencia.</t>
  </si>
  <si>
    <t>Concierto de Babe Mija en Jornada de Universidad = Diversidad</t>
  </si>
  <si>
    <t>✅ Accede a esta formación pinchando en el enlace: https://web-segura.lolaenlared.com/formacion-beautymarketer-nerea-galaguerr
"La única formación 100% MENTORIZADA Y PRÁCTICA del mercado que te enseña a conseguir nuevos clientes para tu peluquería desde cero para disfrutar del estilo de vida que hoy buscas." Todo ello con algo que nadie te da, “GARANTÍA TOTAL DE RESULTADOS”
Soy Lola Guerricaechebarria, creadora de la agencia https://www.lolaenlared.com/ donde enseño a las propietarias y propietarios de peluquerías a conseguir más clientes y así puedan conseguir salir de esta crisis y cambiar su vida y la de sus familias.
En este vídeo te enseño Como Cortar el Cabello Recto, Desfilado y en U "CURSO CORTE CABELLO #1”. Este vídeo va a formar parte de una lista de reproducción para aprender a cortar el cabello, desde lo mas fácil a lo mas complicado, paso a paso. Así que suscribete y activa la campana para no perderte ni uno.
Enlace de Amazon Afiliado del cabezal: https://amzn.to/2PHqG7e
También te informo, de que tengo otro canal Nuevo de YouTube de Moda Nerea Galaguerr Chic https://goo.gl/nYBAQA    y me gustaría verte por allí y que te suscribas y actives la campana para no perderte ningún vídeo y si me ayudas a compartirlo te lo agradezco muchísimo, mil gracias y muchos besitos, _xD83D__xDC97__xD83D__xDE18__xD83D__xDE18__xD83D__xDC97__xD83D__xDC97__xD83D__xDC97_
Para contactar con Nerea Galaguerr: nerea@peluqueriagalaguerr.es
Aquí te dejo otros vídeos que seguro te gustaran:
Como RIZAR El CABELLO con secador_xD83D__xDC95_(ONDULAR EL PELO CON SECADORA)
https://youtu.be/AFapHvmRA28
"Como Planchar el Cabello Para Que Quede BIEN LISO"(ALACIADO PERFECTO)
https://youtu.be/8xfbzXwS0E8
Ondas con Tenacillas Pelo Corto(RIZOS CON TENACILLAS)_xD83D__xDC96_
https://youtu.be/LnVpIjQDpoY
(Como Rizar tu Pelo con Planchas Sin Esfuerzo y Muy Fácil)_xD83D__xDC96_"How to Curl Your Hair"_xD83D__xDC96_
https://youtu.be/5OLQqoq5_AA
Peinados Con Trenzas y Pelo Suelto Para Adolescentes(Braided Hairstyle)
https://youtu.be/BXXjWvL22eU
Sigue todos los consejos de Nerea en el canal, vídeos para darte ideas sobre tus peinados, coloraciones y peluquería profesional. 
Para contactar con Nerea Galaguerr:
nerea@peluqueriagalaguerr.es
Web: http://www.peluqueriagalaguerr.es
Twitter: https://twitter.com/NereaGalaguerr/
Facebook: https://www.facebook.com/Nerea-Galaguerr-569135739837108/
Instagram: https://www.instagram.com/nereagalaguerr/
Gracias por tu visita.
Nos vemos en el próximo vídeo hablando de peluquería -)
Song: TFLM - Lost in Your Eyes (feat. Anja)
Link: https://youtu.be/Aep6cecgpdA
Music promoted by FreeMusicWave.</t>
  </si>
  <si>
    <t>No importa cuál sea tu edad, tu puedes adaptarte a las nuevas tecnologías.  Hay todo un estereotipo que dice que las personas adultas mayores ya no aprendemos.  No te lo creas... yo sé por qué lo digo.
COMPARTE EL VIDEO CON TUS AMIGOS, FAMILIARES Y CONOCIDOS 
https://youtu.be/WgC4kHH3CFc
¡Y SI  NO TE HAS SUSCRITO AL CANAL, NO OLVIDES HACERLO! Y NO TE PIERDAS NINGUNO DE NUESTROS VIDEOS https://www.youtube.com/c/VejezCreativaConPatriciaKelly
CONTACTO: vejezcreativa@gmail.com 
PÁGINA: http://patriciakelly.com.mx/ 
FACEBOOK: https://www.facebook.com/Patty.Kelly.Mexico/
TWITER: https://twitter.com/pattykellymx?lang=es 
INSTAGRAM: https://www.instagram.com/vejezcreativaconpatriciakelly/</t>
  </si>
  <si>
    <t>En este video te propongo una manera creativa y constructiva de abordar la enseñanza de valores para tus alumnos.</t>
  </si>
  <si>
    <t>En el marco de Día Internacional de las Víctimas de Desaparición Forzada demos visibilidad al tema y desterremos mitos. 
#Desaparición #IMAGO #DíaInternacional #Mito72Hrs
Música CC: 
Gusty Hollow by Blue Dot Sessions.</t>
  </si>
  <si>
    <t>7 Actividades para poder realizar en nuestros encuentros virtuales de zoom o meet.
0:20 Actividad 1
1:53 Actividad 2
3:49 Actividad 3
5:30 Actividad 4
6:50 Actividad 5
8:07 Actividad 6
9:19 Actividad 7
#ef #edufis #edufisica #educación #zoom #meet #juegosvirtuales #clasesvirtuales #educacioninfantil #educacionfisica #educaciónfísica #educacionfisicaydeporte #sport #deporteencasa #profesor #profesores #peteachers #peteacher #teachersofinstagram #teacher #teacherlife
https://www.instagram.com/efsantilabartete/</t>
  </si>
  <si>
    <t>Brincos, giros y patadas adornan este baile que forma parte del folklore de los estados del norte, Baja California y Sonora.
Imágenes proporcionadas por:
Videografía Ana Miranda, Gabriel Gómez, Michelle Valerio alumnos de Medios Audiovisuales de la Facultad de Artes UABC, Registro visual Archivo de la Mtra. Rosa Beltran.</t>
  </si>
  <si>
    <t>Con motivo de conmemoración al mes del orgullo y la jornada de Universidad = Diversidad, se presentó una exposición colectiva de artes plásticas y visuales con artistas locales.</t>
  </si>
  <si>
    <t>Este video muestra cómo realizar actividades para adultos mayores para estimular la memoria de trabajo, las funciones ejecutivas y la atención. Forma parte de una serie de 100 actividades que tu puedes revisar en este canal.
¡Cuando este video llegue a 300 likes, subiré el siguiente!
Puedes apoyar al canal y obtener más actividades obteniendo mi manual en Amazon, donde describo 30 actividades para adultos mayores: https://www.amazon.com.mx/dp/B07D7K4K9G
Si te gusta este contenido regálame tu LIKE y COMPARTIR en redes sociales para que llegue a más personas. 
Visita mis Redes Sociales:
Facebook https://www.facebook.com/MenteActivaYouTube
Instagram https://www.instagram.com/chrisnunezpsico/
#TallerdeMemoriaOnline #AdultosMayores #EjerciciosdeMemoria</t>
  </si>
  <si>
    <t>Descubre como la naturaleza puede ser una aliada contra la contaminación, en este episodio de #VitaminaC 
#UABC #CienciaParaLaComunidad #Biorremediación</t>
  </si>
  <si>
    <t>La crisis causada por el COVID-19 ha mostrado lo indispensables que son las economías y comunidades campesinas para Colombia, pero también ha visibilizado su vulnerabilidad. Organizaciones rurales exigen que el Estado y la sociedad reconozcan esa realidad. 
Conozca más aquí ► https://comisiondelaverdad.co/actualidad/noticias/campesinos-damos-comer-colombia-pero-no-reconocen-la-precariedad-vida-campo</t>
  </si>
  <si>
    <t>El servicio de Alfabetización Informacional para adultos mayores ofrece espacios de formación colaborativa en donde los usuarios pueden adquirir habilidades en la selección, uso y evaluación de recursos y fuentes de conocimientos, así como en el aprovechamiento de las tecnologías de la información y la comunicación, a través de sesiones de capacitación, visitas dirigidas, charlas y talleres diseñados a su medida y con la filosofía del aprendizaje a lo largo de la vida.
Para la Red de Bibliotecas del Banco de la República, la Alfabetización Informacional o ALFIN comprende el conjunto de programas y actividades que se desarrollan con el objetivo de dar a conocer el funcionamiento, organización, recursos y servicios que se encuentran disponibles en la red, así como también la formación en el uso de las TICs. 
Conozca más información en: www.banrepcultural.org
Únase al grupo en Facebook de "Actividades para adultos mayores de la BLAA": https://www.facebook.com/groups/326313037736017/
___________
Una producción del Banco de la República - Subgerencia cultural
Síguenos en Facebook, Twitter, instagram: @banrepcultural
Visita: http://www.banrepcultural.org</t>
  </si>
  <si>
    <t>Desde hace tres años, el Centro de Aprendizaje Virtual (CAV) de la colonia Mesa Los Hornos en la alcaldía de Tlalpan y el programa de Inclusión Digital para Adultos Mayores, promovido por la Dirección General de Cómputo y de Tecnologías de Información y Comunicación (DGTIC) de la UNAM, es un esfuerzo para acercar la tecnología a personas que no tienen acceso a ella
#ServiciosUNAM #ComunidadUNAM #InclusiónDigital
Visita _xD83C__xDF0E_ http://www.unamglobal.unam.mx para más contenidos
Sigue nuestras redes sociales
- Twitter: @unamglobal - https://goo.gl/NPpPor 
- Facebook: https://www.facebook.com/unamglobal
-Reportera: Fabiola Méndez 
-Imagen: Nayeli Manuel 
- Edición: Damián Mendoza
-Reportera: Fabiola Méndez 
-Imagen: Nayeli Manuel 
- Edición: Damián Mendoza</t>
  </si>
  <si>
    <t>Descripción de las características de la alfabetización y competencia digital y su desarrollo en el ámbito escolar.
---
Creative Commons: Reconocimiento - No Comercial - Sin Obra Derivada (CC BY NC ND).
http://creativecommons.org/licenses/by-nc-nd/4.0/deed.es_ES</t>
  </si>
  <si>
    <t>Enseñar a un adulto, no es una tarea fácil, en este vídeo nos ocupamos de explicarte como trabajar la enseñanza con los diferentes grupos y necesidades educativas. 
✎ Coaching Educativo: Licenciada en Ciencias de la educación: Alba Jiménez. 
✎ ¡SE PARTE DE LA COMUNIDAD EXCLUSIVA DE ESTE CANAL!
ÚNETE A MIEMBROS DEL CANAL: https://www.youtube.com/channel/UCk6gDLXBSgjJh3AFpaAnJRA/join
✎ PARA NEGOCIOS: soydocentemaestroyprofesor@gmail.com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</si>
  <si>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Comienzo de la escritura y la lectura con el Metodo Montessori.
Para saber más del método montessori recibe el MINICURSO GRATIS Aquí http://elmetodomontessori.com 
ESCUELA PARA PADRES AQUÍ: https://elmetodomontessori.com/escuelaparapadres/
Si lo que quieres es ver el vídeo de la escuela para padres que he creado, puedes verlo aquí: https://www.youtube.com/watch?v=50LkKI0inSk&amp;t=76s
#LectoEscritura #EnseñarALeerYEscribir #Montessori
Cómo aprende a leer y escribir un niño con esta actividad montessori para estimular a  tu hijo. La lectoescritura es el inicio a la escritura y te ayudara a enseñar o aprender a leer y escribir acorde a la filosofía montessori.
VÍDEO donde te explico la TORRE ROSA MONTESSORI al completo y en detalle, verás su relación con la lectoescritura y las matemáticas, así como algunos juegos https://www.youtube.com/watch?v=eYvPgIK5FwA&amp;t=2s
VÍDEO donde te explico en detalle Qué son los MATERIALES MONTESSORI y cual es su finalidad https://www.youtube.com/watch?v=lDaJr0wC0ys&amp;t=20s</t>
  </si>
  <si>
    <t>Aquí tienes 15 dinámicas, juegos y actividades recreativas para realizar con adultos mayores.
Curso Online en Udemy: Aprende a Realizar un Taller de Memoria para Adultos Mayores
https://www.udemy.com/aprende-a-realizar-un-taller-de-memoria-para-adultos-mayores/
Si te gusta este contenido regálame tu LIKE y COMPARTIR en redes sociales para que llegue a más personas. 
Si te gusta este contenido regálame tu LIKE y COMPARTIR en redes sociales para que llegue a más personas. 
Visita mis Redes Sociales:
Facebook https://www.facebook.com/MenteActivaYouTube
Instagram https://www.instagram.com/chrisnunezpsico/
#TallerdeMemoriaOnline #AdultosMayores #EjerciciosdeMemoria
1. Bingo.
Descarga los cartones de bingo:
https://myfreebingocards.com/occasions/new-year-1-75
Descarga la app del bingo:
http://www.bingo.es/app-bingo-para-movil/
2. Memorama.
Aquí puedes descargar diferentes juegos de memorama
http://www.memo-juegos.com/juegos-de-memoria-para-imprimir
3. Sopa de letras.
En este enlace está un generador de sopa de letras con tus propias palabras
https://www.educima.com/wordsearch/spa/index.html
4. Crucigramas.
Este link te lleva a una página para generar crucigramas con tus palabras y pistas
https://worksheets.theteacherscorner.net/make-your-own/crossword/lang-es/
5. Unir con puntos.
Aquí tienes 53 fichas de este ejercicio por nivel de dificultad
https://www.thesprucecrafts.com/connect-dots-worksheets-1357606
6. Damas inglesas.
Aquí te dejo un enlace para que conozcas las reglas de este juego
https://www.buho21.com/reglas/damas.jsf
7. Damas chinas.
Aquí te dejo un enlace para que conozcas las reglas de este juego
https://es.wikipedia.org/wiki/Damas_chinas
8. Ajedrez.
9. Contar historias
Solo completa la frase “mi día más feliz…”
10. Maratón.
Descarga la aplicación del juego clásico de Maratón
https://play.google.com/store/apps/details?id=com.juegomaraton.maratonclasico.Premium&amp;hl=es
11. Club de cine.
¿Qué película recomiendas para ver con adultos mayores?
12. Círculo de lectura
¿Qué libros recomiendas para un círculo de lectura con adultos mayores?
13. Clase de celulares.
14. Clase de idiomas.
Ayúdate con esta app para tu clase de idiomas
https://play.google.com/store/apps/details?id=com.duolingo&amp;hl=es_MX
15. Clase de baile
Aprende danzón con este video
https://www.youtube.com/watch?v=gTFR_5FBcos</t>
  </si>
  <si>
    <t>Hola, qué tal! El día de hoy realicé una SOPA DE LETRAS en Power Point. 
No es difícil es cuestión de aplicar las animaciones comunes que utilizamos. Te deseo éxitos!
Gracias por ver  mis videos en  @Manualidades y Materiales Zukistrukis  
Así que si llegaste hasta aquí y  te gustó el video COMPARTE, DALE LIKE y COMENTA qué más te gustaría ver.
_xD83D__xDC9C_MIRA MIS OTROS VIDEOS: 
*DADO INTERACTIVO:
https://youtu.be/RQLmsl577S8
*TWISTER DE DEDO
https://youtu.be/zT5C0bKyyZg
*TEMPORIZADOR BOMBITA
https://youtu.be/q0VwUIUFIqM
*BOTELLA LOCA
https://youtu.be/wXpMzw4sCNU
*CREA STICKER PARA WHATSAPP y TELEGRAM
https://youtu.be/cqXvDy-BOLI
*CALENDARIO en Power Point (1ra y 2da parte)
https://youtu.be/GJoMaPgw-X0
https://youtu.be/RhGxB7D5nlk
*CUENTO ANIMADO EN POWER POINT: 
https://youtu.be/BmjHd3Ob31o 
*RULETA INTERACTIVA: 
https://youtu.be/tJbwvmJtrb4 
*PASE DE ASISTENCIA: 
https://youtu.be/xabcdCwOVRs 
*Tengo redes sociales si deseas seguirme...
FACEBOOK: https://www.facebook.com/Miss.zukistrukis
INSTAGRAM: https://www.instagram.com/miss_zukistrukis/?hl=es-la
Miss Kathy
#SopaDeLetras #PowerPoint #Zukistrukis #MissKathy</t>
  </si>
  <si>
    <t>Para los docentes que están previamente inscritos en el curso.
Aquí les dejo el link:
http://aulavirtual.perueduca.pe/course/view.php?id=613</t>
  </si>
  <si>
    <t>¡Hola educadores! en este vídeo les presento el curso completo de cómo alfabetizar adultos, o como enseñar a adultos a leer y escribir. 
El curso consta de 7 módulos con una carga horaria de 1 hora. 
-   ¿Cómo enseñar y alfabetizar adultos?
-   ¿Qué se necesita para enseñar a adultos?
-    Material didáctico necesario para enseñar a adultos.
-   Ejercicios pedagógicos para enseñar a adultos.
-   Problemas de aprendizaje en adultos.
-   ¿Cómo estimular el aprendizaje en adultos?
EXTRA: ¿DEBEMOS USAR FONEMAS PARA ENSEÑAR A ADULTOS?
¡VISITA NUESTRA WEB! https://www.soydocentemaestroyprofesor.com/
✎ Coaching Educativo: Licenciada en Ciencias de la educación: Alba Jiménez. 
✎ ¡SE PARTE DE LA COMUNIDAD EXCLUSIVA DE ESTE CANAL!
ÚNETE A MIEMBROS DEL CANAL: https://www.youtube.com/channel/UCk6gDLXBSgjJh3AFpaAnJRA/join
O APOYANOS EN PATREON: https://www.patreon.com/soydocente
✎ PARA NEGOCIOS: soydocentemaestroyprofesor@gmail.com
► NUESTRAS REDES SOCIALES ◄
Instagram: https://www.instagram.com/soydocenteblog/
Facebook: https://www.facebook.com/soydocenteblog/
Twitter: https://twitter.com/soydocenteblog
Linkedin: https://www.linkedin.com/in/albajimenez/</t>
  </si>
  <si>
    <t>Manuel Area Moreira. Catedrático de didáctica y Organización Escolar (Tecnología Educativa). Universidad de La Laguna</t>
  </si>
  <si>
    <t>Accede a: http://aprenderlyx.com/pasos-para-hacer-una-tesis-partes-de-una-tesis/
En http://aprenderlyx.com/ puedes descubrir cuales son los pasos para hacer una tesis de grado. Los pasos para hacer tesis y todas las partes de una tesis se pueden automatizar cuando tienes la herramienta adecuada.</t>
  </si>
  <si>
    <t>Visiones compartidas. De la idea a la palabra UPN-DGTVE
Ciclo: Aseguramiento de la calidad de la profesión docente
Programa 1 Tercera Parte
La práctica docente en la enseñanza de las Ciencias
Dr. Ángel Daniel López y Mota</t>
  </si>
  <si>
    <t>Este video trata sobre la familia y sociedad, fue creado para la clase de Sociología de la Educación y quisimos compartirlo con todos ustedes.  
Esperamos que les guste...!!*</t>
  </si>
  <si>
    <t>Video integrado en curso sobre Tecnología Educativa.
---
Creative Commons: Reconocimiento - No Comercial - Sin Obra Derivada (CC BY NC ND).
http://creativecommons.org/licenses/by-nc-nd/4.0/deed.es_ES</t>
  </si>
  <si>
    <t>Título: Unidad 3 - Lección 3 - Alfabetización en Salud
Autor/a: Valero Ramón Zoe
Curso: Este vídeo es el 17/23 del curso MOOC Altas I. https://www.youtube.com/playlist?list=PL6kQim6ljTJso_TGV2oGU4z2DTJrbid1l 
Inscríbete en: https://upvx.es/courses/course-v1:MedicinaPreventivaYSaludPublica+altas1+2018-01/about
+ Universitat Politècnica de València UPV: https://www.upv.es
+ Más vídeos en: https://www.youtube.com/valenciaupv
+ Accede a nuestros MOOC: https://upvx.es</t>
  </si>
  <si>
    <t>En este video el Prof. Guillermo Salerno nos explica en qué consiste el Programa de Alfabetización Científica.</t>
  </si>
  <si>
    <t>En este vídeo se estudia la manera correcta de redactar una pregunta susceptible de ser investigada. Ofrece abundantes consejos para mejorar la formulación de la pregunta.
---
Creative Commons: Reconocimiento - No Comercial - Sin Obra Derivada (CC BY NC ND).
http://creativecommons.org/licenses/by-nc-nd/4.0/deed.es_ES</t>
  </si>
  <si>
    <t>Conferencia a cargo de la Dra Giraldez, Investigadora Principal en el Departamento de Ciencias Biomédicas Básicas (área de Fisiología) y Subdirectora del Instituto de Tecnologías Biomédicas (ITB) de la Universidad de La Laguna, dentro de las Jornadas de Mujeres Científicas y Tecnólogas organizadas en la Universidad de La Laguna, 2015.
Teresa Giráldez es Doctora en Bioquímica por la Universidad de Oviedo (2001). Realizó estancias postdoctorales en la Universidad de Yale y la Universidad de Washington en Estados Unidos. En 2006 se trasladó a la Universidad de La Laguna, y en 2008 comenzó su andadura como líder de su propio grupo de investigación en la Unidad de Investigación del Hospital Universitario de Ntra Sra de Candelaria, en Sta Cruz de Tenerife. En 2014 se traslada con su grupo al Departamento de Fisiología de la Facultad de Medicina de la Universidad de La Laguna. En la convocatoria de 2014 ha obtenido una ERC Consolidator Grant, la primera en la historia de la Universidad de La Laguna.
Desde el comienzo de su carrera Teresa ha sido investigadora principal en 14 proyectos de investigación autonómicos, nacionales e internacionales. Tiene un numero H=14, todos sus artículos pertenecen al primer decil o cuartil de índice de impacto y tiene 434 citas de las cuales 320 corresponden a su etapa como investigadora líder de grupo. Además, mantiene colaboraciones internacionales con el National Institutes of Health (EEUU), la Universidad de Santiago de Chile y el Instituto de Farmacología Molecular de Berlín, a donde acude con asiduidad. Asimismo, a lo largo de su carrera ha recibido más de 30 invitaciones para impartir conferencias en centros de prestigio internacional y reuniones internacionales de relevancia, entre ellas la muy prestigiosa Ion Channels Gordon Conference en EEUU. es revisora internacional de Proyectos de Investigación para Agencias Nacionales de Investigación, como la Agencia Nacional de Evaluación y Prospectiva (ANEP), la Agencia Francesa de investigación (ANR), y la Fundación Belga FWO. Es revisora científica habitual y de un gran número de revistas internacionales. Es editora, entre otras, de Frontiers in Membrane Physiology and Biophysics, Frontiers in Cardiovascular Research. Ha organizado Reuniones científicas internacionales en Tenerife y Barcelona y formado parte de Comités Científicos de varios congresos y Reuniones Científicas nacionales e internacionales.
Teresa es también miembro activo de Comités nacionales e internacionales implicados en gestión científica y académica, y para la promoción de mujeres en Ciencia. Entre otros, forma parte de la Junta Ejecutiva de la Sociedad Española de Bioquímica y Biología Molecular, del Comité de Oportunidades Profesionales para Mujeres de la Sociedad Americana de Biofísica y del Comité ejecutivo del Instituto de Tecnologías Biomédicas de Tenerife.
Su actividad científica la compagina con la docencia y la divulgación y participa activamente en iniciativas nacionales de divulgación científica como, entre otros, el proyecto nacional ENCIENDE, el comité nacional de divulgación científica de la Sociedad Española de Bioquímica y Biología Molecular, el Comité editorial de la revista “Biofísica” de la Sociedad de Biofísica de España. Además ha sido coordinadora o colaboradora de dos proyectos de divulgación financiados por la Fundación Española de Ciencia y Tecnología (FECYT) y otros dos de Innovación docente financiados por la Universidad de La Laguna. Participa también como colaboradora en programas de radio como “La Esfera” de Radio Unión Tenerife.
Su trabajo y dedicación ha sido reconocido con numerosos premios y reconocimientos, como el "Margaret Oakley Dayhoff Award" de la Sociedad Americana de Biofísica, el Premio "Loreal-UNESCO For Women in Science" en su edición española y el Premio IZASA-Beckmann-Coulter" de la Sociedad Española de Biofísica. Además de estos importantes reconocimientos científicos, su gran labor científica y humana la hizo merecedora del prestigioso galardón “Mujer Canaria 2013” que le concedió el Orfeón La Paz de La Laguna en julio de ese año.
---
Creative Commons: Reconocimiento - No Comercial - Compartir Igual (CC BY NC SA).
http://creativecommons.org/licenses/by-nc-sa/4.0/deed.es_ES</t>
  </si>
  <si>
    <t>¿Todavía no estás suscrito a mi canal de Guillermo Morante TV? No esperes más, haz click en el enlace que te dejo a continuación y disfruta de los tres primeros días de forma gratuita. 
_xD83D__xDC49__xD83C__xDFFB__xD83D__xDC49__xD83C__xDFFB__xD83D__xDC49__xD83C__xDFFB_ https://guillermomorante.tv/
► ¿Quieres cambiar tu vida? Haz click en este enlace _xD83D__xDC49__xD83C__xDFFB_ https://linktr.ee/guillermomorante 
► _xD83D__xDCDA_ Mi LIBRO ya está a la venta para cualquier país: https://amzn.to/3flwhNY
.
.
TIPS, TUTORIAL Y EJERCICIOS DE VOCALIZACIÓN Y USO DE LA VOZ / CÓMO SER UN ORADOR / GUILLERMO MORANTE
► Suscríbete a mi canal haciendo clic aquí http://bit.ly/2pRIg0G para seguir aprendiendo más y mejorar tu vida.
.
.
.
►►► Mi equipo de grabación: https://guillermomorante.com/tienda-amazon-gm/
.
Déjame tu comentario más abajo, los leo TODOS!!!
.
¡GRACIAS POR TU LIKE Y POR COMPARTIR!
.
.
►►► Mi canal de ASMR: http://bit.ly/2RMnaMq
.
.
►►►►►► Mis Cursos Online:
.
Curso de Voz y Oratoria de Guillermo Morante (10 horas): http://bit.ly/2KWL6sC
Programa de Certificación Online de Voz y Oratoria (anual): http://bit.ly/2QWxoK0
Curso Superior de Oratoria y Hablar en Público (10 horas): http://bit.ly/35Dd2tn
.
.
►►Sígueme en:
.
► Mi Whatsapp: https://chat.whatsapp.com/InrN6tpv0rp...
► Mi página Web personal: http://guillermomorante.com
► Mi Blog: http://guillermomorante.com/blog
► Mi Instagram: http://instagram.com/guillermomorante
► Mi Facebook: http://bit.ly/2XSnJ8Y
► Mi Canal: http://www.youtube.com/guillermomorante
► Mi Linkedin: http://bit.ly/37PpHvw
#vozbonita #ejerciciosvocalizacion #guillermomorante</t>
  </si>
  <si>
    <t>Se describe la competencia comunicativa y/o lingüística, su importancia, desarrollo y aplicación.
---
Creative Commons: Reconocimiento - No Comercial - Sin Obra Derivada (CC BY NC ND).
http://creativecommons.org/licenses/by-nc-nd/4.0/deed.es_ES</t>
  </si>
  <si>
    <t>2014 Los estudios de Matemáticas. Universidad de La Laguna
Película promocional de los estudios de Matemáticas en la Universidad de La Laguna, estrenada en el Salón de Actos de la Facultad en abril de 2014.
Guión, Dirección y Montaje: Leyla Daruis Luis
Operador de cámara y sonido directo: Iván Jiménez
Patrocina: Alumni ULL
Duración: 9,21 minutos
http://www.alumniull.es</t>
  </si>
  <si>
    <t>El objetivo de este video es que sirva de guía para usar una calculadora en calculos sencillos estadísticos. Media y desviación típica.
---
Creative Commons: Reconocimiento - No Comercial - Compartir Igual (CC BY NC SA).
http://creativecommons.org/licenses/by-nc-sa/4.0/deed.es_ES</t>
  </si>
  <si>
    <t>Elección de libros  Alejandra 1º año - 2º Parte -
Responsables: Castedo, M; Molinari, C.; Lanz, G.; Dapino, M; Brena, G.; Traverso, V.; Paione, A; Touriñán, C.
U.N.L.P.- C.I.C.  D.G.C.y E
http://abc.gov.ar/lainstitucion/organismos/lecturayescritura/default.cfm</t>
  </si>
  <si>
    <t>Conferencia "Prácticas sociales del lenguaje emergentes y aprendizaje de la lectura y la escritura"
Profr. Enrique Lepe García.</t>
  </si>
  <si>
    <t>El uso de las tecnologías de la información y la comunicación son comunes para niños y jóvenes. Los adultos, sin embargo, tienen alternativas para alfabetizarse y sacarle el mejor provecho a las diferentes herramientas.</t>
  </si>
  <si>
    <t>Alfabetismo digital, también conocido como alfabetización digital y alfabetización multimedia, es la habilidad para localizar, organizar, entender, evaluar y analizar información utilizando tecnología digital.
Universidad de Antioquia
Vicerrectoría de Docencia
Ude@ - Educación Virtual
Instituto Universitario de Educación Física</t>
  </si>
  <si>
    <t>Video promocionando carreras relacionadas con Tecnologías de la Información</t>
  </si>
  <si>
    <t>(Podéis usar el video en cualquier web o blog siempre que referenciéis. Muchas gracias a todos por vuestros comentarios y valoraciones). Junio 2013.
Este video muestra a modo de presentación una visión general sobre el nuevo concepto de sociedad del conocimiento y sus involucraciones en la educación actual y del futuro.
Esta realizado para la asignatura: Informática Aplicada a la Investigación Educativa impartida por el Profesor Colaborador José Clares López de la Universidad de Sevilla.
El grupo es el 2P-2 del curso 2009-2010.
Este trabajo fue realizado por:
- José María Ledo Almazán</t>
  </si>
  <si>
    <t>SUSCRÍBETE: http://bit.ly/161Gww7
Quieres clases personales conmigo , pregúntame aquí por horarios disponibles https://www.facebook.com/VocalCoachElite/
Tips de Canto Ejercicios de Canto Cantar con el Diafragma Como cantar bien , como cantar mejor , consejos de canto,</t>
  </si>
  <si>
    <t>La planeación es una función estratégica de la Universidad que se materializa a partir de una gestión articulada de planes, programas y proyectos. El Plan de Acción Institucional integra los respectivos planes de las vicerrectorías y direcciones de la Administración Central. Se expide para una vigencia que corresponde al período del Rector y contribuye con la materialización del Plan de Desarrollo Institucional. Hoy, acogemos el nuevo Plan de Acción Institucional 2021-2024: “Una universidad solidaria, comprometida con la vida, la equidad y la diversidad, con visión global y pertinente frente a los retos de la sociedad”. Haz parte de este reto Institucional.</t>
  </si>
  <si>
    <t>Los gastos hormiga son esas pequeñas compras a las cuales no les damos importancia por su bajo costo; de hecho, en muchas ocasiones no nos damos cuenta de ellas. Parecen ser inofensivas, pero pueden generar un gran impacto en nuestra economía.
Aquí te dejamos algunas recomendaciones para evitarlos. 
Ude@ Educación Virtual 
Vicerrectoría de Docencia 
Universidad de Antioquia</t>
  </si>
  <si>
    <t>Introducción sencilla al sistema de calificación por Rúbricas</t>
  </si>
  <si>
    <t>Instrucciones paso a paso para ingresar al espacio con TIC aprendo en la U
Conectamos con la U, vicerrectoría de docencia
Ude@ Educación Virtual 
Universidad de Antioquia</t>
  </si>
  <si>
    <t>Actividad integradora 6 - Prepa en Línea SEP
Instagram //  @betsyvigal</t>
  </si>
  <si>
    <t>SANDRA BELIXE SANCHEZ</t>
  </si>
  <si>
    <t>En este corto pero entretenido video le contamos qué es un recurso didáctico y algunos ejemplos de cómo implementa en el aula.
Para más información sobre temas de educación visite nuestra página www.compartirpalabramaestra.org</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</si>
  <si>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</si>
  <si>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Para más información ingresa a: http://www.galileo.edu/lp/ivn/estudia-maestria-en-produccion-direccion-de-e-learning/
Hoy en día, la inclusión de las nuevas tecnologías de la información y la comunicación (TIC's) han conformado una nueva relación didáctica entre los docentes - alumnos- cualquier sea su edad y los conocimientos.
A nivel mundial, cada vez son más las instituciones que tienen en su oferta académica carreras de formación profesional que pueden cursarse en la modalidad virtual. Incluso grandes organizaciones se encuentran desarrollando programas de capacitación para el desarrollo de talento de sus colaboradores, los cuales son implementados en línea.
Sin embargo, para muchos docentes y empresas aún encuentran ciertos paradigmas para formarse y desarrollar proyectos en e-Learning. En el siguiente video veremos algunos de ellos:</t>
  </si>
  <si>
    <t>Construcción del conocimiento,  voz Saúl  Gómez Hernández</t>
  </si>
  <si>
    <t>Webinar de la Serie de la iniciativa #Movingonline BID del Banco Interamericano de Desarrollo. 
Conversando con Stella Porto y Carolina Suarez, especialistas de Gestión del Conocimiento del #BID acerca de las metodologías síncronas y asíncronas, a propósito de los desafíos que enfrentan los docentes en ambientes virtuales, debido al #COVID-19.
Haz parte de la iniciativa y registrate!
https://cursos.iadb.org/es/indes/moving-online
Avancemos juntos hacia el aula virtual!</t>
  </si>
  <si>
    <t>Benjamin Bloom propone una clasificación jerárquica de los objetivos educativos. Esta idea es realmente útil para secuenciar nuestros objetivos y proponer actividades en un orden lógico. Entra en http://ideasparaprofes.com/taxonomia-de-bloom</t>
  </si>
  <si>
    <t xml:space="preserve">Las Tecnologías de Información y Comunicación (TIC) están presentes en todas partes, y las usamos constantemente, pero, ¿sabemos exactamente qué son?
</t>
  </si>
  <si>
    <t>CURSO COMPLETO DE TÉCNICAS DE ESTUDIO: https://www.udemy.com/tecnicas-de-estudio-para-medicina/?couponCode=MEDICINAYT
En esta ocasión examinaremos el método SQR4, un método diseñado para aumentar el aprendizaje y la comprensión lectora. Todo esto se examinará en el libro "Johns Hopkins. Internal medicine Board Review". 
Libro: https://amzn.to/2IiYmbM 
Tienda de Medicina Fácil: https://goo.gl/BZsCqj
Añádete a mis redes sociales:
▶FACEBOOK: https://goo.gl/D6mUV8
▶TWITTER: https://goo.gl/T3aPWc
▶BLOG: https://delamentealaciencia.wordpress.com/
Si te interesa apoyar monetariamente el proyecto
▶PAYPAL: https://www.paypal.me/TapiaMoreno
▶PATREON: https://goo.gl/adEdVh
#medicina #clasesmedicina</t>
  </si>
  <si>
    <t>Mitsubishi Montero Sports versión Diésel o Gasolina luz 4x4 parpadeando constantemente , a veces acompañada De luz A.BS. en el panel de instrumentos, revisando información cada válvula solenoide , al medir con tester,  entre 35 a 40 Ohms.</t>
  </si>
  <si>
    <t>Describe como crear el pin del vale Digital mantener seguro tu dinero</t>
  </si>
  <si>
    <t>Se te olvidó el pin del vale Digital no es problema tenemos los pasos para recuperarlos #valedigital #panamadigital ##panamasolidario</t>
  </si>
  <si>
    <t>Aprende a trabajar con Disfraces y cambios de fondos en la herramienta Scratch</t>
  </si>
  <si>
    <t>Como registrar a las personas en el sistema de vacunación Panamá 
#panama #panamasolidario #vacunaspanama #vacunascovid19 #vacunas</t>
  </si>
  <si>
    <t>Alfabetización digital empodera al usuario
https://www.dgcs.unam.mx/boletin/bdboletin/2021_065.html
DGCS
UNAM
26 de enero de 2021</t>
  </si>
  <si>
    <t>Moneros, grandes transformadores de la historia de México
 https://www.dgcs.unam.mx/boletin/bdboletin/2021_764.html
DGCS
UNAM
12 de Septiembre de 2021</t>
  </si>
  <si>
    <t>Lo que como profesor puedes hacer para mejorar tu relación con los alumnos en tu primer día de clase.</t>
  </si>
  <si>
    <t>Fundó su primera empresa a los 18 años, y hoy, ocho años después, el creador de Grooveshark es un referente a nivel internacional en emprendedurismo tecnológico y también por su labor filantrópica para ayudar a las economías latinoamericanas. Nacido en Colombia, cursó estudios universitarios en Florida donde creó su primer emprendimiento: una plataforma en línea donde los estudiantes pudieran compartir los apuntes de clase y las tareas. Paralelamente lanzó una agencia de relaciones públicas, Socialatom Group, para ayudar a que las empresas de los Estados Unidos llegaran al mercado latinoamericano y viceversa. En el 2006 fundó el servicio de música streaming Grooveshark, que fue finalista en 2011 de los Premios Mashable. En junio de 2010 co-fundó Onswipe para facilirtar el intercambio de aplicaciones.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</si>
  <si>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Cómo hacer una buena presentación de empresa.
Si quieres aprender a hacer presentaciones VIRTUALES ONLINE entra en
https://youtu.be/l6EhIljKo3E
Si quieres ACABAR CON LOS NERVIOS cuando presentas, entra en: https://www.youtube.com/watch?v=6rwrm_lij5o
Si quieres APRENDER CONMIGO presencialmente visita: 
https://www.seminariopragmatica.com
#presentaciones #comunicación #influencia</t>
  </si>
  <si>
    <t>Curso de Oratoria: Cómo hacer una exposición oral, cómo hacer una presentación y hablar en público correctamente al exponer un tema profesional | Técnicas de Oratoria...
✓ Suscríbete » https://www.youtube.com/channel/UC5R94v8nXrxXYxIgSf-AQ3A?sub_confirmation=1
Si te gustó este video, te comparto este nuevo video que hemos publicado sobre "CÓMO MEJORAR TUS HABILIDADES SOCIALES", que está disponible en el otro canal. Te re comiendo que lo veas presionando aquí » https://youtu.be/qY1c-tgBvkM
» Más videos: http://CrecimientoPersonal.TV
» Descarga GRATIS el Libro: http://TecnicasHablarEnPublico.com
~ Cómo Exponer un Tema con Ayudas Visuales:
https://youtu.be/VYM0l0d1TF4
~ 15 Técnicas Efectivas para Iniciar Tu Presentación:
https://youtu.be/zRVmrCPatOk
~ Curso avanzado y comunidad: http://tecnicashablarenpublico.com/curso-avanzado
~ Artículos relacionados: http://victortoscano.mx
~ Facebook: http://facebook.com/VictorToscanoOficial
~ Cómo Hablar en Público: http://comohablarenpublico.me
- - - - - - - - - - -
☰ RESUMEN:
» Cómo hacer una exposición profesional.
Mucha gente piensa que para hablar en público tendrían que ser expertos...
Hoy tenemos buenas noticias para ti. Ya sea que no te guste hablar en público porque te ponen nervioso las miradas, o porque te incomoda llegar a cometer errores, tú vas a salir victorioso de esta, porque te compartiremos las técnicas que necesitas para hablar en público exitosamente, aún cuando no tengas experiencia en el tema.
Entonces el profesor, el jefe o alguien más te ha asignado a ti para que des una plática, hagas una presentación, o expliques un tema específico frente a un público. Y tú no te puedes escapar.
Quizá puedas huir en ese momento pero no puedes esconderte para siempre de vivir la experiencia de hablar en público, porque tarde o temprano tendrás que hacer tu exposición. 
• Así que tienes 2 opciones...
1) Haces una presentación mediocre que solamente "te saque del apuro". Como mucha gente lo hace: Ahí como salga, mientras se aguantan las ganas de vomitar, el temblor, el sudor y el miedo, causando lastima a todos los que los ven.
2) O aprendes las técnicas básicas para hacer una presentación profesional e inspirar a los que te escuchan para que tomen acción, mientras disfrutas del proceso de hacer algo bien hecho, para salir triunfante después de realizar tu presentación.
Nosotros queremos que tú tomes la segunda propuesta. Sólo atrévete a enfrentar tus miedos y toma la determinación de entrar a la arena.
“No es el crítico el que cuenta, el reconocimiento le pertenece sólo al hombre que está en la arena. Aquel que realmente intenta lograr la hazaña; aquel que posee un gran entusiasmo, una gran devoción; aquel que se entrega por completo a una causa noble.”
— Theodore Roosevelt.
Entonces, para que salgas triunfador de la arena, a continuación te presentamos las 7 técnicas que te ayudarán a realizar una exposición profesional.
✓ 1. Delimita con efectividad un tema específico. 
El punto central es que tengas un mensaje específico y bien delimitado del cual vas a hablar. 
✓ 2. Busca y recolecta suficiente información al respecto. 
Utiliza varias fuentes de información, sólo asegúrate de que sean fuentes verídicas y actualizadas.
✓ 3. Toma notas cuidadosas de tus fuentes de información.
Las notas que tomes sobre las fuentes de información, te servirán para hacer referencias y mencionar a tu público de donde obtuviste esos datos. 
✓ 4. Ponte en los zapatos de tu público y selecciona la información que les va a ser más útil. 
Es muy importante seleccionar la información que vas a compartir, pensando en la utilidad y aplicación que las personas que te escuchen le puedan dar. 
✓ 5. Prepara una estructura para tu presentación. 
Introducción, desarrollo y cierre.
✓ 6. Aprende de memoria la apertura y el cierre de tu exposición. 
Saber de memoria como vas a iniciar y a cerrar tu presentación, te permitirá iniciar sin vacilaciones y mostrando seguridad y control. 
✓ 7. Practica varias veces, antes de hacer tu presentación final. 
Tu presentación final deberá ser la última de una serie de repeticiones que hayas hecho.
» Aplica estas 7 técnicas para diseñar y practicar tu siguiente presentación:
Así estarás organizando tu trabajo en etapas cortas, sencillas y manejables, de modo que te será más fácil crear una presentación profesional. 
Cautiva, inspira y guía con tu profesionalismo, a todo aquel te vea plantar tus pies con firmeza en la arena de la vida.
★ Sé valiente y vive el rol de héroe, que tu entorno necesita.
“No es el crítico el que cuenta, ni tampoco aquel que señala como el que está en el ruedo pudo haberlo hecho mejor. El reconocimiento le pertenece solo al hombre esta en la arena.” — Theodore Roosevelt.
====================================
✓ Suscríbete » http://victor-toscano.com/youtube
====================================
☺ No te pierdas el siguiente video de Crecimiento Personal, Comunicación y Liderazgo.
♥ ¡Suscríbete!</t>
  </si>
  <si>
    <t>Un panorama sobre la educación Waldorf, de acuerdo con la visión del Colegio Inlakesh.</t>
  </si>
  <si>
    <t>Una de las decisiones más importantes de nuestra vida es el momento de elegir la carrera que queremos estudiar. En el momento de tomar esta decisión influyen muchos factores como la familia, nuestros gustos y aspiraciones, la universidad, el ambiente, el costo de la carrera, entre otros. Pero uno de los factores más importantes en el momento de elegir que estudiar es conocer que tan rentable termina siendo ejercer la profesión por la cual estudiaste. Es por eso por lo que el día de hoy te voy a presentar las 10 carreras mejor pagadas de México.
El Centro de Investigación en Política Pública, mejor conocido como IMCO, es un centro de investigación en política pública y acción ciudadana que propone soluciones efectivas a los desafíos más importantes de México. Apartidistas y sin fines de lucro, proponen política pública para transformar la vida de las personas y promover el libre ejercicio de sus derechos. Asimismo, estudia fenómenos económicos y sociales que afectan la competitividad en el contexto de una economía abierta y globalizada.
El IMCO realizó un estudio que compara las 51 carreras universitarias más importantes de México, para así ofrecer un panorama general de las carreras universitarias e información educativa técnica para que los jóvenes puedan tomar una mejor decisión a la hora de elegir qué estudiar. En ese estudio se analizan distintos datos de las diferentes carreras que se imparten en México, como la cantidad de estudiantes hay por carrera, cuál es su salario, dónde trabajan y qué tan rentable es la inversión. Cabe resaltar que en México, el salario promedio a nivel nacional es de 6,687 pesos mexicanos, unos 335 dólares, por lo que al estudiar una carrera se busca mínimo, superar el promedio nacional.
1 Medicina
2 Electrónica y automatización
3 Ciencias ambientales
4 Mercadotécnia y publicidad 
5 Negocios y comercio 
6 Contabilidad y fiscalización 
7 Matemáticas 
8 Construcción e ingeniería civil 
9 Ingeniería mecanica y metalurgia
10 Ingeniería industrial, mecánica, electrónica y tecnología, programas multidisciplinarios o generales
Fuente: http://imco.org.mx/comparacarreras/ranking/mejor-pagadas/2018/1</t>
  </si>
  <si>
    <t>_xD83C__xDF81_ ¡DESCARGA AQUÍ MI LIBRO, GRATIS! ►https://sebastianlora.com/f/descarga-gratis-libro/ 
Estos 6 errores graves al hablar en público te están saliendo caros. No los cometas.
⚠️¡TE INTERESA! Descubre cómo hablar en público en 2021: https://youtu.be/XovoGmC1Ewg
Mi programa online Conecta y Véndete Mejor: https://sebastianlora.com/f 
Sígueme en Instagram: https://www.instagram.com/seb.lora/</t>
  </si>
  <si>
    <t>Esta fue una producción (doblaje) que realicé cuando trabajaba para CECyTEJ, pero dada la importancia que tiene en el área educativa la comparto para el bien de todos los interesados en el futuro de la educación y como reconocimiento a la empresa CORNING.
I did this production (dubbing) when I was working for CECyTEJ.But due to the importance it has for education I uploaded for the benefit of those interested in the future of education and as a recognition to CORNING.</t>
  </si>
  <si>
    <t>Link: http://arata.se/aprendizaje
Este vídeo es para ti que quieres mejorar tu aprendizaje, que quieres aprender algo difícil y lo estás encontrando difícil. Como aprender mejor?
Soy Seiiti Arata, de Arata Academy, y estoy aquí para ayudarte si realmente deseas aprender un tema difícil.
Nuestra charla de hoy es contigo, que quieres mejorar el rendimiento de tus habilidades (y para ello me refiero tanto a habilidades manuales como intelectuales), tocar un instrumento musical, aprender idiomas, mejorar tu elocuencia, crecer en tu carrera, mejorar tus relaciones o simplemente encontrando más motivación para acabar las cosas que has empezado pero de las cuales aún no produces excelentes resultados.
No necesitas ser talentoso o un genio para poder aprender algo difícil.
El mundo está lleno de “genios talentosos” que rápidamente se rindieron y se frustraron por no poder alcanzar sus metas.
No tiene uso ser un genio cuando no hay dedicación y persistencia, los cuales son esenciales para alcanzar la maestría en algo. 
Este vídeo no es solo para que aprendas algo superficialmente. Nuestra charla de hoy solo es útil sí realmente estás interesado en profundizar tu aprendizaje.</t>
  </si>
  <si>
    <t>Restituir el pasado a un pueblo que podría no conocerlo, papel fundamental del historiador
https://www.dgcs.unam.mx/boletin/bdboletin/2021_756.html
DGCS
UNAM
10 de Septiembre de 2021</t>
  </si>
  <si>
    <t>Se integra la UNAM a Red Internacional de Cátedras Abertis
https://www.dgcs.unam.mx/boletin/bdboletin/2021_769.html
DGCS
UNAM
13 de Septiembre de 2021</t>
  </si>
  <si>
    <t>¡FREIRE revolucionó la PEDAGOGÍA! En este video hablaremos de la pedagogía de Freire, la cual tiene relación con desarrollar la conciencia social del estudiante a partir de un método de alfabetización. Cabe mencionar que éste está enfocado para las personas adultas, las cuales, en su mayoría eran obreros o campesinos. 
_xD83D__xDD36_ Hemos hecho para ti el blog MÁS COMPLETO de la red sobre PEDAGOGÍA. Ingresa aquí: https://bit.ly/2NRWOpJ 
Si quieres saber todo sobre Platón de forma divertida o aprender más filosofía fácilmente:
_xD83D__xDD36_ Platón en minutos: https://youtu.be/7tH6OOOv7Rg
_xD83D__xDD36_ Diviértete aprendiendo Filosofía clásica https://bit.ly/3sRXJII
Sé parte de nuestras redes sociales...
Instagram: https://bit.ly/2X8hDCY
Facebook: https://bit.ly/2UIAqmF</t>
  </si>
  <si>
    <t>Webinar Online el Próximo Domingo. Inscríbete Gratis Aquí _xD83D__xDC49_ https://bit.ly/3B6YToa
Partes importantes del vídeo:
0:00  Introducción
1:55  #1. Técnica del recuerdo
3:19  #2. Técnica de la primera letra
4:32  #3. Las asociaciones creativas
5:09  #4. El estado de ánimo
En este vídeo te enseño 4 técnicas específicas de memorización, con las que vas a conseguir que tu memoria y tu comprensión trabajen mano a mano, y te ayuden a conseguir mejores resultados en tus estudios.
Lectura Ágil es la mayor comunidad de lectura rápida del mundo hispano hablante. 
Ya somos más de 12.000 alumnos de 43 países distintos.
Si te interesa aprender aún más:
_xD83D__xDC49_ Sigue nuestro blog: https://lecturaagil.com/blog/
Encuéntranos en redes:
_xD83D__xDC49_Facebook: https://www.facebook.com/Lecturaagil/
_xD83D__xDC49_Instagram: https://www.instagram.com/lecturagil/
#memorizarRapido #comoMemorizarRapido #comoMemorizar</t>
  </si>
  <si>
    <t>La primera Acta de Independencia de México se publicó…en Texas
https://www.dgcs.unam.mx/boletin/bdboletin/2021_773.html
DGCS
UNAM
14 de Septiembre de 2021</t>
  </si>
  <si>
    <t>No hay evidencias de que mascotas contagien al humano de SARS-CoV-2
https://www.dgcs.unam.mx/boletin/bdboletin/2021_759.html
DGCS
UNAM
11 de Septiembre de 2021</t>
  </si>
  <si>
    <t>Para la mayoría de nosotros, un teléfono móvil es parte de nuestras vidas, pero estoy seguro de que sus mentes curiosas siempre se han visto afectadas por cuestiones como la forma en que un teléfono móvil hace una llamada, y por qué hay diferentes generaciones de comunicaciones móviles. Exploremos la tecnología detrás de las comunicaciones móviles.
Traducido del inglés por : https://www.fiverr.com/nicholaszgb
Voz sobre el artista : https://www.fiverr.com/juliojserrano</t>
  </si>
  <si>
    <t>_xD83C__xDFA4_ Aprende a hablar en público por internet (curso de oratoria online gratis)
► https://www.youtube.com/watch?v=Etw6M9wZIvQ&amp;list=PLuOOpu7sGpisJBIKoYzchImjKyWI1mFcL
_xD83C__xDF81_ ¡DESCARGA AQUÍ MI LIBRO, GRATIS! ►https://sebastianlora.com/f/descarga-gratis-libro/
¿Sabías que existen gestos corporales muy poderosos con los cuales puedes transmitir autoconfianza y seguridad en todo tipo de situaciones sociales y profesionales? Descúbrelos en este vídeo sobre gestos corporales y comunicación.
Gana autoconfianza y seguridad en ti mismo, transmite seguridad ante los demás y conecta mejor con ellos usando estos gestos al hablar en público.
Lenguaje corporal persuasivo: https://youtu.be/XovoGmC1Ewg
Mi programa online Conecta y Véndete Mejor: https://sebastianlora.com/f 
Sígueme en Instagram: https://www.instagram.com/seb.lora/</t>
  </si>
  <si>
    <t>Reanudará actividades Universum con exposición “Italia: el arte de la ciencia”
https://www.dgcs.unam.mx/boletin/bdboletin/2021_766.html
DGCS
UNAM
13 de Septiembre de 2021</t>
  </si>
  <si>
    <t>Voto libre y principio de mayoría, bases de la democracia
https://www.dgcs.unam.mx/boletin/bdboletin/2021_765.html
DGCS
UNAM
12 de Septiembre de 2021</t>
  </si>
  <si>
    <t>Instalan Junta Directiva de Aceleradora de Negocios Biotecnológicos UNAM-Hidalgo
https://www.dgcs.unam.mx/boletin/bdboletin/2021_762.html
DGCS
UNAM
12 de Septiembre de 2021</t>
  </si>
  <si>
    <t>Patricia Dolores Dávila Aranda, nueva secretaria de Desarrollo Institucional
https://www.dgcs.unam.mx/boletin/bdboletin/2021_752.html
DGCS
UNAM
9 de Septiembre de 2021</t>
  </si>
  <si>
    <t>En las ciudades se genera más de 70 por ciento de las emisiones contaminantes globales
https://www.dgcs.unam.mx/boletin/bdboletin/2021_770.html
DGCS
UNAM
13 de Septiembre de 2021</t>
  </si>
  <si>
    <t>Posgrado, espacio para crecimiento en la formación de recursos humanos especializados: Lomelí Vanegas
https://www.dgcs.unam.mx/boletin/bdboletin/2021_757.html
DGCS
UNAM
10 de Septiembre de 2021</t>
  </si>
  <si>
    <t>Tratan cálculos biliares a base de rábano negro
https://www.dgcs.unam.mx/boletin/bdboletin/2021_768.html
DGCS
UNAM
13 de Septiembre de 2021</t>
  </si>
  <si>
    <t>La cultura es la flor de la humanidad: es el fruto de nuestra imaginación, el producto de nuestras tradiciones, la expresión de nuestros anhelos. Su diversidad es extraordinaria y forma parte del rico tapiz de la civilización.</t>
  </si>
  <si>
    <t>Specialist on training in new technologies and Digital Identity Management for students, teachers and young people. He is the General Diretor of "Adama Web" and editor in "blogoff". He considers that internet is the land of opportunities and we still play with Candy Crush.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</si>
  <si>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Exposición del enfoque denominado constructivismo.  Este enfoque viene desarrollándose con el aporte de las nuevas teorías del aprendizaje y propone que hay cambios importantes en la forma de aprender en las personas, por lo que se necesitan cambios importantes en la forma de enseñar.</t>
  </si>
  <si>
    <t>http://biialab.org
Un curso GRATUITO para aprender a aprender. Conoce los mejores tips de aprendizaje rápido y efecto así como también a asociar y utilizar mejor tu memoria a largo plazo.
Aprende neuroeducación junto a Luis Bretel</t>
  </si>
  <si>
    <t>Educar a las nuevas generaciones es una obligación de todos y en ésta tarea los niños han de ser los protagonistas de su propio aprendizaje. 
Todas las materias son importantes pero es necesario incorporar en el currículo escolar el hecho de educar en valores como el respeto, la tolerancia y enfatizar en la inteligencia emocional. Y es que tal y como nos recordó César, el factor humano (aspecto esencial para desarrollo como personas) es mucho más relevante que los varemos estandarizados de evaluación mediante calificaciones numéricas. 
No olvidemos que los niños son seres curiosos por naturaleza, debemos adquirir el hábito de escucharlos y dejarlos que se expresen difuminando la jerarquía niño- adulto/maestro y empezar a hablarles de tú a tú. Sólo de este modo aprendemos conjuntamente los unos de los otros. Ya nos lo advirtió César: “Una persona deja de aprender no porque se haga mayor, sino porque deja de tener curiosidad” Stay Curious!
Único finalista español entre los 50 mejores maestros del mundo para el Premio Nobel de la Educación.
César ha escrito obras de teatro para enseñar a leer a niños de 10 años; se convirtió en alumno de cajón de un niño gitano para vencer al absentismo; hizo un película muda para unir a dos niños y sus familias que no se hablaban; un documental para que los niños respetaran y valoraran a los ancianos y creó una protectora virtual de animales dirigida por niños que ahora tiene miles de seguidores en todo el mundo. Ha recibido premios nacionales e internacionales por fomentar la creatividad, la innovación y la sostenibilidad en la educación y cree en una enseñanza más allá de los libros y las guías docentes. Una educación que empodere, que inspire y que a través de las emociones y las experiencias, saque lo mejor de los niños del futuro.
This talk was given at a TEDx event using the TED conference format but independently organized by a local community. Learn more at http://ted.com/tedx</t>
  </si>
  <si>
    <t>Elizabeth Chiuyare, jefa del Área de Formación del Instituto de Docencia Universitaria PUCP da algunas recomendaciones que los profesores deberían tomar en cuenta al momento de planificar sus clases. 
Suscríbete al Youtube de la PUCP: 
http://www.youtube.com/subscription_center?add_user=pucp
Visítanos en: 
http://www.pucp.edu.pe 
Síguenos en:
http://www.facebook.com/pucp
http://twitter.com/pucp/</t>
  </si>
  <si>
    <t>Llamamos alfabetización digital a la capacidad de realizar diferentes tareas en un ambiente digital. Poder valerse de la tecnología para localizar, investigar y analizar información es parte de la adaptación al paso de los avances que se suceden en la sociedad.
Si te gustó este video ¡Suscribite acá! http://bit.ly/365lUrZ
Conocé más sobre la plataforma Ticmas en Ticmas.com</t>
  </si>
  <si>
    <t>LINK A LA PARTE 2 DE ESTE VIDEO , CON EL ORDEN DE INTRODUCCIÓN DE LAS LETRAS :
https://youtu.be/IcZ05XN_xhk
LINK PARTE 3 
https://youtu.be/F93B7Z9Frh4
Suscríbete https://www.youtube.com/user/lucianasjournal
Visita el FB https://www.facebook.com/lucianasjournal
Lee nuestro Blog http://lucianasjournal.blogspot.mx/
Sigue nuestros tweets https://twitter.com/adrianabh
Ve nuestras imágenes http://instagram.com/adrianabris
7 Tips para ayudar a tus hijos a leer
# 1  El método
# 2  El Alfabeto móvil
# 3  Destaca los sonidos
# 4  La escritura puede esperar
# 5  Festeja
# 6  Lee con tu niñx
# 7 ¡Mantente alerta!
Gracias por ver el video, Uki agradece sus comentarios, que se suscriban, los pulgares arriba y sobretodo que regresen.
Hasta la próxima.</t>
  </si>
  <si>
    <t>Si te gusta este vídeo puedes suscribirte a mi blog en www.davidsagrista.com donde comparto ideas sobre comunicación.
La forma de iniciar una presentación en público es crucial para que la audiencia perciba que estás seguro de ti mismo, que tienes confianza y que, por tanto, ellos se pueden relajar para escuchar tu discurso. Pero ¿Cómo tenemos que actuar al inicio de una presentación? Este vídeo te da alguna claves.</t>
  </si>
  <si>
    <t xml:space="preserve">El ser humano nace sin saber, conforme va pasando el tiempo aprende del mundo que lo rodea. Es ahí donde aparece la figura del maestro, para guiar y acompañar a las nuevas generaciones. En Amco nosotros creemos que es la profesión más noble e importante que ayuda a cambiar al mundo para ser mejor. Este video está dedicado a ti, maestro. </t>
  </si>
  <si>
    <t>El uso del computador y dispositivos móviles entre la mayoría de las personas permite hablar de la apropiación de las nuevas tecnologías. Sin embargo, no todos los individuos cuentan con los conocimientos y prácticas frente al manejo de estos aparatos electrónicos, es entonces cuando se habla de analfabetismo digital.</t>
  </si>
  <si>
    <t>Desde 1967, el Día Internacional de la Alfabetización se celebra cada año en todo el mundo para recordar al público la importancia de la alfabetización como factor de dignidad y de derechos humanos, así como para lograr avances en la agenda de alfabetización con miras a una sociedad más instruida y sostenible. A pesar de los logros alcanzados, los desafíos persisten, ya que 773 millones de adultos en el mundo no poseen, hoy en día, las competencias básicas en lectoescritura.
El Día Internacional de la Alfabetización 2020 hará hincapié en la enseñanza de la alfabetización y el aprendizaje durante la crisis de la COVID-19 y más allá subrayando el papel desempeñado por los docentes y la evolución de las pedagogías. El tema hará hincapié en el aprendizaje de la lectoescritura desde la perspectiva del aprendizaje a lo largo de toda la vida y se centrará fundamentalmente en los jóvenes y adultos. La crisis reciente del COVID-19 constituyó un crudo recordatorio de la brecha existente entre el discurso político y la realidad: esta brecha existía ya antes del periodo de COVID-19 y tiene una repercusión negativa en el aprendizaje de los jóvenes y adultos que no carecen o disponen de pocas competencias en lectoescritura y que, en consecuencia, tienden a verse confrontados a diferentes inconvenientes. Durante la crisis del COVID-19, en numerosos países, los programas de alfabetización de adultos han estado ausentes de los planes de respuesta educativa, de manera que la mayoría de los programas de alfabetización de adultos que existían ya habían sido suspendidos, y que solo algunos cursos se mantenían de manera virtual, mediante la radio y la televisión o los espacios al aire libre.
Visite el sitio web oficial del Día Internacional de la Alfabetización de la UNESCO y obtenga más información:
https://es.unesco.org/commemorations/literacyday
#DíaDeLaAlfabetización</t>
  </si>
  <si>
    <t>Conoce las habilidades digitales: https://gamemath.ec/2020/10/10/alfabetizacion-digital/</t>
  </si>
  <si>
    <t>Programa TICs básico enfocado a toda la comunidad.</t>
  </si>
  <si>
    <t>Pensamientos Poderosos 101. 
Narrado en español por  Cristina Ingrid B.
Este audiolibro contiene una meditación para escuchar cuando despiertes y otra para cuando te vas a dormir. 
    Louise te motiva a empezar el día con afirmaciones positivas que abren nuevas posibilidades para ti. Por la noche te guía para terminar el día con gratitud por todo aquello que experimentaste y te prepara para que tengas un sueño profundo y reparador.
         " Escuchar a diario este audiolibro durante 30 días, ha producido resultados maravillosos en muchas personas. Al escuchar la repetición de ideas una y otra vez, se pernean en tu conciencia y te ayudan a realizar un gran cambio en tus patrones de pensamiento. Te deseo el mismo éxito y beneficio que tanta gente ha logrado al escucharlo." (Louise L. Hay)
Suscríbete al canal si te ha gustado, para  que no te pierdas ninguna novedad. Dadle like y comparte, para que más personas puedan disfrutarlo. Gracias.
Para que sigas disfrutando de de éste canal,  sin cortes publicitarios, te agradecería inmensamente, siempre que esté dentro de tus posibilidades, un pequeño donativo. Por más mínimo que sea sería un gran aporte para mí, y podría seguir subiendo contenido de gran aporte para que los disfrutes. Gracias, Gracias, Gracias.  
Namaste.
      https://www.paypal.com/donate?hosted_...​</t>
  </si>
  <si>
    <t>Aprenderás cómo localizar tu móvil perdido o robado con Google Maps. De es forma podrás como rastrear tu celular extraviado por medio de google Maps.
#movilperdido #rastrearcelular #googlemaps
Herramienta usada en el tutorial:
https://www.google.com/android/find
La mejor herramienta para rastrear la ubicación u otras actividades de cualquier teléfono inteligente- Spyzie.
Pruebe Spyzie Demo: https://my.spyzie.com/livedemo.html?f=isky
Para cualquier consulta puedes escribirme directamente a mi correo: info@ronaldvasquez.com
Suscribete a mi canal: http://tinyurl.com/SuscribeteYoutube
Sígueme en Facebook: https://www.fb.com/ronaldvasquezonline
Sígueme en Twitter: http://www.twitter.com/ronaldvasquez
Descargo de responsabilidad: Este video se ofrece solamente con propósitos educativos y de información. Asimismo en ningún caso este canal se hace responsable por daños o perjuicios ocasionados por las herramientas o sitios web recomendados en los tutoriales.
Toda la información proporcionada en el canal VideoMarketingViral son para fines educativos, por lo cual no somos responsables de la utilización o de la finalidad de dicha información por parte de los usuarios.</t>
  </si>
  <si>
    <t>Formación en competencias para la práctica profesional y personal en contextos digitales</t>
  </si>
  <si>
    <t>La Unesco define la alfabetización digital como el proceso por medio del cual las personas adquieren conocimientos y destrezas en el ámbito tecnológico. En ese sentido, hemos diseñado curso Alfabetización Digital con el fin de brindar las nociones básicas en esta área. 
El acceso a mejores puestos de trabajo, mayores oportunidades de crecimiento dentro de la organización, así como un constante aprendizaje de las novedades tecnológicas, son algunos los beneficios que brinda el conocimiento del mundo digital.
Ingresa en el siguiente enlace para conocer más sobre nuestro curso: 
https://www.formacionsmart.com/alfabetizacion-digital/
Síguenos en nuestras redes sociales: 
Instagram: https://cutt.ly/ukUHoxe​ 
Facebook: https://cutt.ly/pkUHzzx​ 
Linkedin: https://cutt.ly/EkUHTsd​ 
Página web: https://cutt.ly/skUHJwg​
#FormaciónSmart​#Formación​#Capacitación</t>
  </si>
  <si>
    <t>Mucho se ha discutido los últimos años sobre métodos de alfabetización, pero ¿existe realmente un método más eficiente? ¿Cuando comenzar el proceso de alfabetización para obtener los mejores resultados?</t>
  </si>
  <si>
    <t>ESTA ES UNA NARRATIVA ACERCA DE ALGUNAS HERRAMIENTAS DIGITALES QUE EL DOCENTE PUEDE UTILIZAR PARA SU DESARROLLO DE COMPETENCIAS.</t>
  </si>
  <si>
    <t>En las elecciones más grandes de la historia, te toca elegir. #ElVotoSaleyVale</t>
  </si>
  <si>
    <t>Si bien la brecha digital es dañina y peligrosa, la brecha de información puede serlo todavía más. Es necesario publicar más información en más idiomas para ayudar a cerrar la bercha de la información.
Su experiencia en medios, tecnología digital y negocios la ha llevado a trabajar como consultora en Estados Unidos, Latinoamérica, Europa y Asia, al dictar conferencias en Nueva York, Ciudad de México, Barcelona, Bogotá, Moscú y Nueva Delhi, entre otras muchas ciudades.
En sus inicios en los medios de comunicación, tras cursar estudios de Periodismo y Español en la Universidad de Massachusetts, fue reportera en varios periódicos y revistas hasta que, en 1995, dio el gran salto al internet. Desde entonces, ha combinado el periodismo, la consultoría y la educación, enfocada siempre en tecnologías, contenidos y productos digitales.
Ha escrito 25 libros acerca de internet; tales como Web Sites For Dummies y Social Media Design For Dummies. De igual forma, ha producido videos de entrenamiento y capacitación para Lynda.com, creativeLIVE y KelbyTraining, que están entre los sitios más grandes del aprendizaje en línea.
This talk was given at a TEDx event using the TED conference format but independently organized by a local community. Learn more at http://ted.com/tedx</t>
  </si>
  <si>
    <t>Ven y aprende a utilizar estas herramientas que nos ayudaran en esta contingencia de salud.</t>
  </si>
  <si>
    <t>En esta cápsula de Social Media Acatlán, Cluadia Alba, egresada y colaboradora de la FES Acatlán nos habla sobre las principales características de la literatura digital con la intención de crear una experiencia única.</t>
  </si>
  <si>
    <t>What is visual literacy? Toledo Museum of Art Director Brian Kennedy answers this and other questions about visual literacy in a series of videos.</t>
  </si>
  <si>
    <t>Franco nos presenta su taller de Alfabetización Digital
#IntegrarteTV
puntodigital@viedma.gov.ar
Secretaría de Desarrollo e Integración Social
#GobiernoDeViedma
@pedropesatti</t>
  </si>
  <si>
    <t>Acceso remoto a salas de lectura virtuales, catálogos inmensos de libros y revistas a sólo un clic de distancia de la tablet o de un libro eléctrónico... Seguro que muchos de ustedes han utilizado alguna vez el servicio digital de una biblioteca o institución cultural.
El Instituto Iberoamericano en Berlín, con la mayor biblioteca de Europa especializada en América Latina, España, Portugal y el Caribe, cumple este año 90 años.
https://www.youtube.com/channel/UCVE9RAl--QOBlAQ_vmiv0Yg/featuredv</t>
  </si>
  <si>
    <t>Programa Educador Digital: Soy Principiante Sesion 1/6
Hoy iniciamos el programa EDUCADOR DIGITAL: Soy principiante
Lunes 27 de abril, 20:00 Hrs
Tema: Sobre Educador digital, Google Suite y Computacion en la nube
Sesión en vivo: https://youtu.be/5hxhykPyYwI
Sesiones y guias: https://programa.gegbolivia.org
José Santander
Líder GEG Bolivia—Coordinador REDDOLAC
Global Tech Educator, Google Innovador, Google Trainer
Susy Carlo
Líder GEG Santa Cruz
Global Tech Educator, Google Trainer</t>
  </si>
  <si>
    <t>Vídeo producido por el Gabinete de Tele-Educación de la Universidad Politécnica de Madrid</t>
  </si>
  <si>
    <t>En este video realizó una narración de los conocimientos que adquirí al estudiar el módulo 1 de alfabetización digital para un ambiente virtual</t>
  </si>
  <si>
    <t>Cómo desactivar la geolocalización de Google y no morir en el intento
SEGURIDAD EN ANDROID: CÓMO DESACTIVAR EL SEGUIMIENTO POR LOCALIZACIÓN
Como activar o desactivar el rastreo de ubicaciones de Google Maps
CÓMO DESACTIVAR LA UBICACIÓN GPS DE TU TELÉFONO
CÓMO ACTIVAR LA UBICACIÓN GPS DE TU TELÉFONO</t>
  </si>
  <si>
    <t>#Spotify #tercercielo
No olvides suscribirte:
http://bit.ly/TercerCieloSuscribirse
letras y Música: Juan Carlos Rodriguez,  Fe y Obra Music, BMI
Producción musicalteclados, mezcla y mastering: Juan Carlos Rodriguez 
Yo te extrañaré tenlo por seguro
fueron tantos bellos y malos momentos
que vivimos juntos
Los detalles, las pequeñas cosas
lo que parecía no importante
son las que más invaden mi mente
al recordarte
Ojalá pudiera devolver el tiempo
para verte de nuevo
para darte un abrazo
y nunca soltarte
Mas comprendo que llegó tu tiempo
que Dios te ha llamado
para estar a su lado
así él lo quiso
pero yo nunca pensé
que doliera tanto
Ya no llores por mí
yo estoy en un lugar lleno de luz
donde existe paz, donde no hay maldad
donde puedo descansar
No llores por mí
es tan bello aquí (nunca imaginé)
quiero que seas feliz, que te vaya bien
y cuando te toque partir
espero verte aquí
Yo te extrañaré
tenlo por seguro
cómo pensar que la vida puede terminar
en un segundo
la vida es polvo, puede esparcirse
en un momento
nada trajiste, nada te llevarás
sólo lo que había dentro
Dirección, producción y edición
Luis Gomez Films
Tercer Cielo en las redes.
Siguenos en Spotify http://bit.ly/TercerCieloSpotify
Siguenos en Instagram https://www.instagram.com/tercercielooficial/
https://www.instagram.com/jctercercielo/
https://www.instagram.com/evelyntercercielo/
Siguenos en Facebook https://www.facebook.com/TercerCieloOfficial/
Siguenos en Twitter
http://twitter.com/tercercielo</t>
  </si>
  <si>
    <t>Inscríbete gratuitamente en el curso: https://miriadax.net/web/profesor-oo-herramientas-tecnologicas-para-la-mejora-docente/inicio?timestamp=
Actualmente, existe un amplio elenco de herramientas digitales que contribuyen a mejorar el desarrollo de una lección y la evaluación a los alumnos, pero muchas veces el profesor las desconoce o, sabiendo que existen, no sabe cómo manejarlas o cuáles elegir en su caso concreto. En este curso se presentan las herramientas más utilizadas en los Sistemas de Gestión de Aprendizaje (LMS, "Learning Management Systems"), su manejo y optimización para conseguir el objetivo de que el profesor descubra, aprenda y use más recursos que enriquezcan su docencia.</t>
  </si>
  <si>
    <t>Programa TICs básico enfocado a toda la comunidad. | canal + Inclusión Digital.</t>
  </si>
  <si>
    <t>La académica del Instituto de Comunicación e Imagen de la Universidad de Chile, Andrea Valdivia,  se refiere al significado de la alfabetización digital y su relevancia en la actualidad.</t>
  </si>
  <si>
    <t>En este capítulo de la serie Somos Digitales, Nico y Caro preparan juntos un trabajo práctico sobre cómo buscar y seleccionar información en la web. Descubren los recursos que agilizan y protegen los datos compartidos en internet. Este video ha sido elaborado en el marco del plan Aprender Conectados, del Ministerio de Educación, Cultura, Ciencia y Tecnología de la Nación.</t>
  </si>
  <si>
    <t>La curadora de Smart City Expo World Congress, Pilar Conesa, conversó con #ia13 sobre los objetivos y desafíos que tiene Santiago para convertirse en una ciudad inteligente.
Smart City Expo Santiago es un evento presencial y virtual que reunirá a actores claves en el desarrollo y planificación de las ciudades, desde el punto de vista de la sostenibilidad, desarrollo de infraestructura tecnológica e inclusión social, con el objetivo de tener ciudades con mejor calidad de vida. 
www.ia13.cl</t>
  </si>
  <si>
    <t>Breve introducción a las ciencias sociales para comprender la importancia que tiene su estudio.
Para comprender mejor el video, activa los subtítulos en español latino.</t>
  </si>
  <si>
    <t>Didácticas Sociales</t>
  </si>
  <si>
    <t>Video de la ponencia "La Importancia del Juego en la Primera Infancia" realizada por Imma Marín en el Congreso APRENDO 2013 el 27 de Octubre del 2013.</t>
  </si>
  <si>
    <t>Presentación qué es la educación para Leonardo Garnier Rímolo: la educación solo puede ser subversiva.</t>
  </si>
  <si>
    <t>Video sobre las estrategias y métodos en la enseñanza de Estudios Sociales como parte de la tarea del Taller 2 en la materia APRENDIZAJE Y ENSEÑANZA DE LAS CIENCIAS SOCIALES.
Universidad Tecnológica Indoamerica.</t>
  </si>
  <si>
    <t>¡Bienvenidos a #ia13!
Somos una plataforma online de 13C que produce y comparte contenidos en modo colaborativo, con partners de diferentes ámbitos del mundo público y privado.
Nuestra misión es difundir y promover la denominada "cultura tecnológica 4.0" que caracteriza estas primeras décadas del siglo XXI  y que está generando cambios profundos en la educación, en las comunicaciones, en el trabajo, en la economía y en  prácticamente todas las esferas de la vida cotidiana.
Todo esto, además, acelerado por la pandemia del Covid-19.
La pauta editorial de #ia13 es una moneda de dos caras. Considera temas tecnológicos vinculados a la #InteligenciaArtificial e incluye también los alcances y efectos para el desarrollo humano integral, que resumimos con la etiqueta #InteligenciaColectiva.</t>
  </si>
  <si>
    <t>Visiones compartidas
De la idea a la palabra UPN-DGTVE
Ciclo: Aseguramiento de la calidad de la profesión docente
Programa 1 Segunda Parte</t>
  </si>
  <si>
    <t>El director regional metropolitano de CORFO, Álvaro Undurraga, conversó con #ia13 sobre las ciudades inteligentes.
Una Smart City es una ciudad que hace más con menos, gasta bien sus recursos y tiene un enfoque en los habitantes.
El experto señala que “la tecnología debe permitirnos una mejor calidad de vida, ahorrar y saber lo que está pasando. Hay muchas cosas que la autoridad hace un poco a ciegas porque la información es poca, cortada y no se comparte”.
www.ia13.cl</t>
  </si>
  <si>
    <t>EL SIGUIENTE VIDEO HABLA SOBRE:  Prospectiva de la calidad educativa orientada al uso de las tic en la aplicación del nuevo modelo educativo.
Cualquier comentario, asi como las preguntas y respuestas del tema, favor de escribir aqui debajo o al correo albertoperezgonzalez57@gmail.com
Referencias 
Padilla A. (2017). Coordinación de educación virtual consigue nivel 3 en modelo de mejora continua hansei-uag. Universidad autónoma de Guadalajara. 6 de enero 2017. http://mediosuag.mx/noticias-uag/coordinacion-de-educacion-virtual-consigue-nivel-3-en-modelo-de-mejora-continua-hansei-uag</t>
  </si>
  <si>
    <t>El director general de Robotics Lab-Chile, Rodrigo Quevedo, abrió la conversación con los partners internacionales que participan en el lanzamiento del Hub Global de Tecnologías 4.0 que incluye investigación, desarrollo y formación de jóvenes de distintos países en áreas como inteligencia artificial, robótica, mecatrónica y otras disciplinas asociadas.
Emerson Puelles, director de la Comunidad Virtual Mecatrónica Latam, se refiere a las nuevas aplicaciones de la Realidad Virtual y la Realidad Aumentada en ámbitos educativos.
El experto espera que “de aquí a un año la gente se dé cuenta que cuando hablamos de estas tecnologías, en realidad ya no es ciencia ficción. Lo importante es cómo las adoptamos y usamos en nuestros desafíos locales”.
Por su parte, la doctora Alexandra Lukicheva, del centro FORZA, detalla avances en el convenio que existe entre Robotics Lab y destacadas universidades de San Petersburgo, Rusia, para que estudiantes chilenos se capaciten en estas nuevas tecnologías dominantes del siglo XXI.
www.ia13.cl</t>
  </si>
  <si>
    <t>Hola seguimos con la exploración de la definición de Alfabetización Digital ¿Sabías que tiene cinco dimensiones? Te invito a que veas el video y conozcas más al respecto. Estoy probando formatos, así que si te gustó el video te pido que me lo hagas saber, cualquier duda, comentario ¡Lo que sea! Escríbeme aquí o a mi facebook personal Miranda Torres 
Acá la fuente con la información completa.
Fuente: García-Ávila, S. (2017). Alfabetización Digital. Razón Y Palabra, 21(3_98), 66-81. Recuperado a partir de http://www.revistarazonypalabra.org/ind…/…/article/view/1043</t>
  </si>
  <si>
    <t>Visita www.educacionadebate.org - Entrevista con Néstor García Canclini.</t>
  </si>
  <si>
    <t>En este video hablaremos sobre ¿Qué son las ciencias de la educación?  analizando su concepto, cuáles son las áreas que la conforman y cuál es el área laboral de un egresado en Ciencias de la educación. 
¡No te olvides de suscribirte, comentar y compartir!
Árticulo por escrito: https://contactoedusan.wixsite.com/edusan/blog/que-son-las-ciencias-de-la-educacion
¡Síguenos en nuestras redes sociales!
Facebook: https://web.facebook.com/Edusanoficial/
Instagram:  https://www.instagram.com/edusanofficial/
Música: Feeling Fine
URL: https://icons8.com/music/</t>
  </si>
  <si>
    <t>El presidente del Club Innovación y académico de la Facultad de Ingeniería de la Universidad Adolfo Ibáñez, conversó con el editor de #ia13 sobre el potencial del hidrógeno verde.
El hidrógeno verde, es producido por electrólisis, tecnología que permite aplicar electricidad a la molécula de agua y dividirla en oxígeno e hidrógeno limpios con cero emisiones. Este proceso no emite dióxido de carbono (CO2) y transforma el agua en moléculas de gases de hidrógeno y oxígeno, usando electricidad producida por fuentes renovables.
www.ia13.cl</t>
  </si>
  <si>
    <t>Este 14 de noviembre desde las 9:00 de la mañana, Robotics Lab Scl y The Biped Robot Association de Japón llevarán a cabo la primera Robo One Latinoamérica una competencia de lucha de robots caminantes bípedos.
La competencia de lucha de robots caminantes bípedos, nacida en Japón, surge con el objetivo de popularizar los robots caminantes bípedos en Latinoamérica, junto a fomentar la robótica y el uso de las tecnología avanzadas.
El torneo será de forma remota y se transmitirá por https://www.twitch.tv/robo_one_latino. El equipo con el robot campeón clasifica a la Robo-One World Championship que se realizará en Japón. 
www.ia13.cl</t>
  </si>
  <si>
    <t>En «Ciudadanos reemplazados por algoritmos», Néstor García #Canclini discute cómo redistribuir el poder y replantear los conflictos entre el papel emancipador de las redes y la sumisión de la hipervigilancia. En esta entrevista nos da un adelanto sobre contenido del libro y sus temas pendientes. 
—  Conoce más sobre el #CALAS:
• Visita nuestro website: http://www.calas.lat/es
• Sigue nuestras plataformas digitales:
  • https://www.facebook.com/CalasCenter
  • https://twitter.com/CalasCenter
  • https://www.instagram.com/calas.center/
• Y suscríbete a nuestro newsletter: http://calas.lat/es/suscr%C3%ADbete-nuestro-bolet%C3%ADn</t>
  </si>
  <si>
    <t>La Prof. Ana Ribeiro y el Dr. Pablo Da Silveira encaran una vez más desde un ángulo diferente el  tema educativo. En este caso, en la tercera entrega del ciclo Diálogos sobre Educación, abordan "la evaluación", con el Prof. Pedro Ravela docente e investigador especializado en temas de evaluación educativa. Desde 2007 dirige el Instituto de Evaluación Educativa en la Facultad de Ciencias Humanas de la Universidad Católica. En Uruguay trabajó durante doce años en la Administración Nacional de Educación Pública, donde fue Director de Evaluación, del Proyecto MECAEP y el primer Coordinador Nacional de las pruebas PISA.
A lo largo de una enriquecedora charla comienza a develarse la trascendencia del tema. Los distintos tipo de evaluación, su importancia, su mal uso, son solo algunas de las aristas que se recorren sobre un tema que a priori puede parecer casi irrelevante, pero cuya trascendencia en el sistema educativo queda clara en este diálogo.
Las distintas acepciones que se le puede dar a la palabra aprendizaje, también merecen todo un capítulo dentro de esta entrega. "En Uruguay se sigue enseñando a memorizar y a repetir. Pero ahora hay una tendencia en el mundo a que el estudiante piense una solución para un problema luego de haber comprendido. Luego de aprender", destaca Ravela. El especialista también se manifiesta contrario a la repetición en Primaria ya que pone en duda su utilidad.
Otro de los puntos destacados de este diálogo transcurre cuando Ravela plantea la encrucijada que debe enfrentar un docente a la hora de evaluar. También se refiere a las contradicciones de algunos grupos sindicales de la educación que se oponen a iniciativas antagónicas entre sí. Dice que hay mucho para hacer en materia de evaluación y que en Uruguay existen trabas tales como "la tendencia terrible a discutir siempre acerca del cambio de programas", y la acción deficitaria de no incluir una evaluación de su funcionamiento cuando se pone en marcha un programa.
21/6/2012</t>
  </si>
  <si>
    <t>Conferencia de Alex Rovira, empresario, escritor y economista, en la que nos habla sobre "El Ser Interior" dentro del evento "La Educación del Ser"
00:25 Primera parte 
01:45 El ser Interior
¿Quién es Alex Rovira?
http://www.alexrovira.com/
Más sobre La Educación del Ser
https://www.promete.org/la-educacion-del-ser
Más vídeos de agoranews: 
http://agoranews.es/
Empresario, escritor, economista, conferenciante internacional y consultor español. Ha vendido cerca de ocho millones de copias de sus diferentes títulos, siendo algunos de ellos número 1 de ventas en España y en otros países, tanto en lengua española como en otros idiomas. Asimismo, está considerado uno de los mayores expertos en Psicología del Liderazgo a nivel mundial. Es licenciado en Ciencias Empresariales y MBA por ESADE, donde dirige seminarios sobre Innovación, Gestión del Cambio, Gestión del Talento, Gestión de Personas y Pensamiento Creativo para alta dirección de empresas y/o ONGs. Además de en esta escuela de negocios, colabora también en otras instituciones de gran prestigio académico. La Buena Suerte ha sido su obra de mayor impacto internacional, editada en 42 idiomas, con un éxito sin precedentes en la literatura de no ficción española, que vendió más de tres millones de copias en tan sólo dos años y recibió el premio al mejor libro del año en Japón en 2004 por unanimidad de crítica, público y profesionales del sector editorial. Es también coordinador de una colección de la editorial Aguilar que lleva su nombre y en la que se publican ensayos, relatos y libros de empresa suyos y de otros autores.</t>
  </si>
  <si>
    <t>La Fundación telefónica de España lleva adelante todos los años un interesante informe, en donde refleja la penetración de las nuevas tecnologías e internet en la sociedad del viejo continente.</t>
  </si>
  <si>
    <t>✎ Coaching Educativo: Licenciada en Ciencias de la educación: Alba Jiménez. 
✎ ¡SE PARTE DE LA COMUNIDAD EXCLUSIVA DE ESTE CANAL!
ÚNETE A MIEMBROS DEL CANAL: https://www.youtube.com/channel/UCk6gDLXBSgjJh3AFpaAnJRA/join
✎ PARA NEGOCIOS: soydocentemaestroyprofesor@gmail.com
► NUESTRAS REDES SOCIALES ◄
→ FACEBOOK: 
www.facebook.com/ParaDocentes
→Instagram:
https://www.instagram.com/soydocenteblog
Todos los seres humanos sin excepción pasamos por etapas en el proceso de aprender a leer a escribir. Desde el garabateo básico hasta la escritura correcta y legible. En este vídeo aprenderás a distinguir cada etapa e identificarla. 
→ Mi blog con temas educativos: soydocentemaestroyprofesor.blogspot.com.ar
→ SLIDESHARE: 
www.slideshare.net/albyjimenez
→Google Plus: https://plus.google.com/113848355916966692984
→Twitter:
twitter.com/AlbaMariluz</t>
  </si>
  <si>
    <t>Para saber más de Comunicación Eficaz, recomiendo este manual práctico: https://www.amazon.es/dp/152029705X</t>
  </si>
  <si>
    <t>Porque creemos fírmemente que el papel de nuestros docentes en el aula de clase se fortalece con el uso de las TIC, hemos producido un curso especial llamado "Maestro Digital", que busca, de una manera muy clara, presentar contenidos que ayuden a los docentes a comprender mejor el significado y uso de las TIC en la educación. Aquí le dejamos un adelanto de lo que será "Maestro Digital"</t>
  </si>
  <si>
    <t>Artículo relacionado: https://www.protocolo.org/miscelaneo/videos/los-gestos-de-mala-educacion-vulgaridad.html
Los gestos vulgares y maleducados.
La comunicación no verbal puede comunicar, con gestos, la mala educación de una persona. 
La vulgaridad es bastante más común de lo que pensamos. Solo hay que fijarnos a nuestro alrededor. 
Teresa Baró, en el programa de TVE 
"Para todos la 2" nos da un relación de los gestos más vulgares. 
Puedes ver más vídeos y artículos en: https://www.protocolo.org.</t>
  </si>
  <si>
    <t>Conferencia de la Dra Emilia Ferreiro sobre las nuevas alfabetizaciones "Leer en la era digital", realizada por el Ministerio de Educación de España.</t>
  </si>
  <si>
    <t>En este vídeo te explico que es la alfabetización digital,su importancia,y en que consiste.</t>
  </si>
  <si>
    <t>Arrancamos la estrategia de aprendizaje 
En este video revisaremos la definición de Alfabetización Digital (AD)....
¿Sabes qué es? Me gustaría que pensaras a qué te suena Alfabetización Digital y luego de ver el clip, me compartas tus impresiones :D. Estoy probando formatos, así que si te gustó el video te pido que me lo hagas saber, cualquier duda, comentario ¡Lo que sea! Escríbeme aquí o a mi facebook personal Miranda Torres Nos leemos pronto ;)</t>
  </si>
  <si>
    <t>En este video de Docente al Día, conocerán más sobre la Unidad 1 del curso de Alfabetización Digital, que les permitirá desarrollar competencias y habilidades esenciales para interactuar en entornos digitales, necesarios para estudiar, trabajar, desenvolverse en la vida diaria y aprovechar las oportunidades que brinda el entorno, y si varios ya dominan el uso de las herramientas digitales, con esta información, recordarán y retomarán ciertos conocimientos de estas.</t>
  </si>
  <si>
    <t>Conferencia Emilia Ferreiro</t>
  </si>
  <si>
    <t>El avance acelerado de la tecnología enfrenta a la Educación con la búsqueda continua de metodologías enfocadas en el desarrollo de competencias, impactando en los ambientes de aprendizaje y en la manera en que se abordan los roles y los procesos de aprendizaje en general.
Cuando además se asume la tecnología -las TIC, como motivadoras y generadoras de aprendizaje significativo, que pueden integrarse en procesos enriquecedores- se logra una combinación potente, que el docente debe asumir como un constante reto y que lo hace moverse entre un abanico de posibilidades. En este seminario online, realizado el 5 de junio de 2020, ¡las exploramos juntos!
Tema:
Pedagogía + Tecnología: un reto constante para los docentes
Presenta y modera:
Javier Firpo, experto en Educación, Desarrollo Humano, Tecnologías y STEAM. Durante más de 10 años se desempeñó como director de Intel Corporation para América Latina &amp; Caribe, donde fue responsable de la dirección y ejecución de los Programas de Educación y Responsabilidad Social Empresaria. Actualmente, se desempeña como consultor internacional independiente, en diferentes iniciativas y organizaciones de Educación, Ciencia y Tecnología en la región relacionadas con la inclusión social y el desarrollo sustentable a partir de las tecnologías y la enseñanza de las ciencias.
Disertante:
Olga Lucía Agudelo Velásquez tiene más de 30 años de experiencia en la docencia en diferentes niveles educativos, incluyendo la formación de docentes. Es gestora pedagógica y líder TIC de proyectos de la Secretaría de Educación de Medellín, miembro de EDUTEC (Asociación para el Desarrollo de la Tecnología Educativa y de las Nuevas Tecnologías Aplicadas a la Educación), docente e investigadora en el Centro de formación virtual de la Universidad de Santander (grupo de investigación educativa GRAVATE). Coordina los espacios de Desarrollo Docente y Educación y TIC del Instituto de Desarrollo Profesional de Virtual Educa.</t>
  </si>
  <si>
    <t>Breve explicación de que es la Brecha digital y en que consiste.</t>
  </si>
  <si>
    <t>María Florencia Ripani, responsable a cargo del diseño y la implementación de Aprender Conectados, recorre los principales lineamientos del Plan.</t>
  </si>
  <si>
    <t>O Glorioso Príncipe San Miguel, Jefe Principal de la Milicia Celestial, Guardián fidelísimo de las almas, Vencedor eficaz de los espíritus rebeldes, fiel Servidor en el Palacio del Rey Divino, eres nuestro admirable Guía y Conductor.
Realicemos esta Coronilla a San Miguel Arcángel con mucha fe
¡DIOS TE BENDIGA ABUNDANTEMENTE!</t>
  </si>
  <si>
    <t>Les doy la bienvenida a mi canal contable ElsaMaraContable, donde podrán encontrar de manera gratuita contenido de la contabilidad, que estoy segura les ayudará en sus carreras como contadores y en su vida laboral. Aprende fácil y GRATIS.
¡SUSCRÍBETE ahora!
https://www.youtube.com/user/elsamaracontable
****************************************
ENLACE DIRECTO A WHATSAPP https://wa.me/573213956698
****************************************
Actualmente brindamos capacitación en diferentes espacios y áreas contables :
CURSOS GRATUITOS ====  https://elsamaracontable.org/course-cat/gratuito/
CURSOS DE PAGO ======  https://elsamaracontable.org/course-cat/pago/
****************************************
Para entrevistas, conferencias, capacitación de maestros, promoción de marcas, participación en eventos o tratar asuntos comerciales, por favor contacta al señor JUAN FONSECA (mi representante) a través del siguiente formulario:
https://goo.gl/forms/8nSpje8xa3DWcKpZ2
****************************************
ACÁ ENCUENTRAS EL LISTADO DE TODAS MIS CLASES DE FORMA CRONOLÓGICA Y POR TEMAS
https://www.youtube.com/user/elsamaracontable/playlists
****************************************
En REDES SOCIALES me encuentras como ELSAMARACONTABLE
Instagram:  https://www.instagram.com/elsamaracontable/
Twitter:  https://twitter.com/elsamaracontabl  
Facebook:  https://www.facebook.com/elsamara.contable  
Comunidad Facebook:  https://www.facebook.com/Elsa_Mara_Contable-192132507616748/ 
Grupo de Apoyo: https://www.facebook.com/groups/elsamaracontable/ 
Skype:  ElsaMaraContable  
Pinterest:  https://es.pinterest.com/elsamarac/
Linkedin:  https://www.linkedin.com/in/elsa-mara-contable-bab50b98?trk=hp-identity-name
Whatsapp: 3213956698
ENLACE DIRECTO WHATSAPP: https://wa.me/573213956698
****************************************</t>
  </si>
  <si>
    <t>Este video forma parte del contenido del curso Corte y Confección.</t>
  </si>
  <si>
    <t>Escuelas argentinas, con subtitulo en inglés.</t>
  </si>
  <si>
    <t>En este capítulo de la serie Digiaventuras, Elio y Luna crean a Rocío Bot, la primera robot construido en una casa del árbol. ¿Pero cómo hacer para que se mueva y haga cosas? Junto a ella aprenderán sobre hardware y software. Este recurso forma parte de las series educativas Aprender Conectados.</t>
  </si>
  <si>
    <t>"Cómo preparar una clase con TIC (Tecnologías de Información y Comunicación)"
El propósito de este video es mostrar  el proceso de diseño de una estrategia de enseñanza - aprendizaje basado en Tecnologías de Información y Comunicación para un curso específico. 
En el video tomamos una clase de música, en la cual se enseñará rítmo y compás, pero la metodología es perfectamente aplicable a cualquier tipo de curso.
Para el diseño de una estrategia de enseñanza -- aprendizaje, debemos tomar en cuenta los siguientes puntos:
    • Identificar el grupo al que se dirige la clase
    • Conectar los saberes del estudiante con lo que se le va a enseñar
    • Definir el contexto cultural, social, político y económico del grupo
    • Determinar competencias: qué queremos enseñar y qué quieren aprender
    • Estrategia docente
       o Determinar necesidades del estudiante
       o Estilos de aprendizaje
       o Medios didácticos
       o Actividades
    • Evaluación
Buenas prácticas y uso TICs:
En el video "Copla-buenas prácticas con TICs", se recita una canción creada en base a los cuatro principios propuestos por Moreira (2007), para usar TICs como parte de las estrategias de enseñanza y aprendizaje:
1. Hemos de ser conscientes que los ordenadores por sí mismos no generan una mejora sobre la enseñanza y el aprendizaje. Depende de la calidad del proceso educativo.
2. Las tics debieran ser utilizadas para la organización y desarrollo de procesos de aprendizaje de naturaleza socio-constructivista. Aprendizaje constructivo y colaborativo del conocimiento
3. La tecnología informática, a diferencia de la impresora y el audiovisual, permite manipular, almacenar, distribuir y recuperar con gran facilidad y rapidez grandes volúmenes de información. Antes eran los libros ahora la compu y el internet.
4. Las tecnologías digitales son poderosos recursos para la comunicación entre sujetos (alumnado y profesorado) que se encuentren distantes geográficamente o bien que no coincidan en el tiempo.
"Las buenas prácticas didácticas con tics en el aula" (Manuel Moreira; 2007)
Unidades de Competencia:
    • Reconocer el pulso y métrica rítmica
    • Reconocer y marcar compases simples
    • Lograr una noción de estructura rítmica
    • Desarrollar acción creativa
    • Ejercitar coordinación motriz
Video Elaborado por:
Alejandra López, Karen Arce, Rosby Delgadillo, Iván Loredo
Para el:
Proyecto NOMA - Maestría en Tecnologías Educativas y Recursos Digitales
Universidades: EAFIT (Colombia) - Univalle (Bolivia) - Bergen (Noruega)
Producción:
Chorrellana Media Films
Cochabamba - Bolivia
Agosto, 2012</t>
  </si>
  <si>
    <t>En el marco del 1° Congreso virtual de Educación Inicial, Andrea Vitola y las ideas para incluir la programación, la robótica y el pensamiento computacional en el jardín de infantes.</t>
  </si>
  <si>
    <t>En este capítulo de la series Digiaventuras, parece que la compu de la casa del árbol no funciona bien. Luna, Elio y Api descubrirán junto a Ojo Cam cómo cuidarla y buscarán la forma de compartir esos consejos con sus amigos.</t>
  </si>
  <si>
    <t>Vídeo 2 de la Unidad 3 del MOOC #CDigital_INTEF. Edición 2015.</t>
  </si>
  <si>
    <t>No es lo mismo memorizar que aprender de memoria. Si quieres que tus hijos comprendan lo que leen, lo asimilen, lo hagan suyo y puedan expresarlo con sus propias palabras, en definitiva, aprendan a estudiar comprendiendo, en Guiainfantil.com te contamos 5 pautas que debes tener en cuenta.
Suscríbete a nuestro canal y recibe nuestras novedades en tu correo: http://ow.ly/vkViZ
G+ - https://plus.google.com/+guiainfantil
Fb- https://www.facebook.com/guiainfantilcom/
Tw - http://twitter.com/guiainfantil
Pint -  https://www.pinterest.es/guiainfantilcom/
Instagram - https://www.instagram.com/guiainfantilcom/
Guiainfantil es una revista digital y un canal de vídeos con contenidos exclusivos para padres e hijos, tanto educativos como de entretenimiento. Embarazo, Bebés, Salud, Educación, Ocio, Alimentación y Recetas.
Creemos en la familia y que juntos podemos formar a niños y padres más felices.</t>
  </si>
  <si>
    <t>Video sobre los conceptos de didáctica general y didáctica específica. Permite entender la diferencia entre estos dos conceptos de forma clara y sencilla. 
Se permite la proyección de este video para usos pedagógicos en clases, exposiciones, etc. Favor respetar a los autores al no atribuirse su autoría ya que esto puede ser motivo de penalizaciones por las leyes de Derecho de Autor vigentes.
Este video fue realizado por una estudiante de Licenciatura en Pedagogía Infantil UNIMINUTO Centro Regional Zipaquirá</t>
  </si>
  <si>
    <t>La escritura es un aprendizaje básico en la infancia. En Guiainfantil.com os damos unos trucos e ideas para iniciar al niño en la escritura de forma divertida. Una estupenda manera de fomentar la motricidad fina y motivar a los niños a escribir sus propias historias. 
Suscríbete a nuestro canal y recibe nuestras novedades en tu correo: http://ow.ly/vkViZ
Fb - https://www.facebook.com/guiainfantilcom/
Tw - https://twitter.com/guiainfantil
Pint -  https://www.pinterest.es/guiainfantilcom/
Instagram - https://www.instagram.com/guiainfantilcom/
Guiainfantil es una revista digital y un canal de vídeos con contenidos exclusivos para padres y niños, tanto educativos como de entretenimiento. Bebés, Salud, Educación, Ocio, Embarazo, Alimentación y Recetas. Porque creemos que juntos podemos formar a niños y padres más felices.</t>
  </si>
  <si>
    <t>Aquí podrás encontrar  un tutorial completo de la nueva herramienta digital de la educación.</t>
  </si>
  <si>
    <t>En esta nueva emisión de Caminos de Tiza, Mirta Goldberg recibe a María Elena Cuter, especialista en Alfabetización, y a Edgle Pitón, investigadora en Didáctica - Nivel Primario de la Universidad de Buenos Aires para adentrarnos en una nueva problemática: las teorías, métodos y moda de la alfabetización inicial.
Claudia Molinari, profesora adjunta en la Facultad de Humanidades y Ciencias de la Educación de la Universidad Nacional de La Plata brinda una reseña de cómo se trabaja en el nivil inicial los temas vinculados a la alfabetización; mientras que Pablo Pineau, Dr. en Educación (UBA) recorre los diferentes libros de textos y sus métodos. Reflexiona acerca de cómo las editoriales han reflejado los avances y retrocesos respecto a la alfabetización.
En primera persona compartimos los testimonio de las maestras Nora Benítez, María Cristina Peregalli, Mariel Luján Zaninovich e Ivana Szac de la Escuela 2 del Distrito 9 de la Ciudad Autónoma de Buenos Aires.
Emitido el 29-10-2016 por la Televisión Pública Argentina.
http://www.tvpublica.com.ar
https://www.facebook.com/tvpublica
https://twitter.com/TV_Publica
https://www.facebook.com/caminosdetizatv</t>
  </si>
  <si>
    <t>En este video te presento una serie de estrategias que puedes poner en práctica en el día a día para que consigas conectar con tus alumnos y acabes ganándote su respeto y confianza.
Espero que lo puedas poner en práctica y que te sirva.
Puedes dejar tus comentarios</t>
  </si>
  <si>
    <t>El video forma parte del Programa "Punto y Seguimos" Un Programa dirigido a la enseñanza y promoción de la lectura y producción escrita en las etapas Inicial y Primaria.</t>
  </si>
  <si>
    <t>Un tutorial paso a paso para aprender a utilizar las principales funcionalidades de EdPuzzle y poder crear vídeo lecciones completas para tus clases.
EDpuzzle es una herramienta online que nos permite editar y modificar videos propios o de la Red para adaptarlos a las necesidades de nuestra clase. Con EDpuzzle podemos seleccionar nuestros videos educativos favoritos, editarlos, asignarlos a nuestros alumnos y comprobar que los entienden mediante preguntas insertas a lo largo del visionado. 
En este caso podemos ver un ejemplo para lecciones de historia o arte con monumentos de Roma.</t>
  </si>
  <si>
    <t>En este video te compartimos algunas ideas divertidas para ayudar a los niños a trabajar con su nombre. Gracias por seguirnos!!
Gracias por ver nuestros videos y compartirlos. _xD83D__xDC95_
_xD83D__xDC49_  Recuerda darte una vuelta a nuestro segundo canal  Sonrisas de bolsillo Kids 
https://www.youtube.com/results?search_query=sonrisas+de+bolsillokids
_xD83D__xDC49_  Puedes encontrarnos en Facebook / Sonrisas de bolsillo 
 https://www.facebook.com/search/top?q=sonrisas%20de%20bolsillo
_xD83D__xDC49_  Facebook /sonrisas de bolsillo kids 
https://www.facebook.com/Sonrisas-De-Bolsillo-Kids-103585424783713
_xD83D__xDC49_Instagram
 https://www.instagram.com/sonrisasdebolsillo/
Aquí mas videos para tus clases
VIDA SALUDABLE_xD83C__xDF4E_  https://youtu.be/-dNL5-pUTbw
EDUCACION SOCIOEMOCIONAL _xD83D__xDE0C_ https://youtu.be/0GZ05Y9sKlM
ACTIVIDADES CON MONEDAS _xD83D__xDCB2_ https://youtu.be/vzQJGgtyKN0
CANCION PARA PAPÁ _xD83D__xDC68_‍_xD83D__xDC67_ https://youtu.be/pYHSM-_t7Tw
APRENDIENDO A CONTAR _xD83D__xDD22_  https://youtu.be/o9OsJ_JTLeQ
OFICIOS Y PROFESIONES _xD83D__xDE92_  https://youtu.be/Nn8S3nUS7_E
APRENDIENDO LA HORA ⏰  https://youtu.be/KLWdw5nu76I</t>
  </si>
  <si>
    <t>Explicación de distintos usos de la pizarra digital para nivel inicial</t>
  </si>
  <si>
    <t>La pandemia ha profundizado las desigualdades educativas en Argentina. El confinamiento hace imprescindible tener computadora en casa y conexión a Internet para poder seguir las clases virtuales. Pero esto está lejos de ser realidad. El Estado ha puesto medidas para paliar las desigualdades sociales y la brecha digital, pero no bastan.</t>
  </si>
  <si>
    <t>Programa Aprender Conectados en el Nivel Inicial de Mendoza. DGE. 2019.</t>
  </si>
  <si>
    <t>Enlaces implementa este proyecto que trabaja el pensamiento lógico-matemático y utiliza la metodología de estaciones, lo que permite que al interior de las aulas los niños y niñas transiten por distintas mesas de trabajo en las que se encuentran los tablets y otros materiales. De esta forma se combina el trabajo concreto con el simbólico.</t>
  </si>
  <si>
    <t>♥ ♥ LÉEME / DESPLIÉGAME ♥ ♥
Hoy os traigo una rutina de estiramientos para la espalda para realizar después del entrenamiento o bien para relajar la musculatura.
Los estiramientos son muy útiles si queremos aliviar ese dolor de espalda que aparece en la zona baja (zona lumbares).
Podéis realizar esta rutina tanto como queráis, y si se quiere prevenir el dolor de espalda se tiene que combinar con rutinas de ejercicios de abdominales (zona CORE). 
Iré subiendo más ejercicios para que podáis hacer como rutina mirando el vídeo!
Espero que os sea de ayuda, dejar vuestro comentario y vuestras dudas!!
.................................................................................................................................
♡♡ ¿QUÉ LLEVO PUESTO? ♡♡
Camiseta: http://bit.ly/2bSbume
Mallas: http://bit.ly/2ctASQW
Zapatillas: http://bit.ly/2cmM6TT
.................................................................................................................................
♡♡ ¡SUSCRÍBETE! ♡♡ http://www.youtube.com/user/gymvirtual 
.................................................................................................................................
MIS OTROS CANALES
♡ SECRETOS DE CHICAS: http://www.youtube.com/secretosdechicas 
♡ SECRETOS DE CHICAS VIP: http://www.youtube.com/secretosdechicasvip 
♡ GYM VIRTUAL: http://www.youtube.com/gymvirtual 
♡ SECRETOS DE CHICAS VLOG: http://www.youtube.com/secretosdechicasvlog 
♡ PATRY JORDAN: http://www.youtube.com/patryjordan 
.................................................................................................................................
REDES SOCIALES
♡ INSTAGRAM: http://www.instagram.com/gymvirtual_com
♡ SNAPCHAT: patryjordan
♡ TWITTER: http://www.twitter.com/gymvirtual_com 
♡ FACEBOOK: http://www.facebook.com/gimvirtual
♡ PINTEREST: http://www.pinterest.com/patryjordan 
♡ GOOGLE +: http://bit.ly/1UKC7Jv 
♡ MI PÁGINA WEB: http://www.gymvirtual.com  
.................................................................................................................................
¿QUIERES MANDARME UN DETALLITO?
Patry Jordán
Apartado de Correos 162
17080 Girona
.................................................................................................................................
♡ COMPRAR MI LIBRO: http://bit.ly/1MxJmx9
♡ COMPRAR MI EBOOK: http://bit.ly/1Fruwbq 
.................................................................................................................................
VÍDEOS POPULARES
CARDIO INTENSO 30’ ADELGAZAR RÁPIDO: http://bit.ly/1WESN49 
AUMENTAR GLÚTEOS 25’: http://bit.ly/1PosZU7 
CARDIO 30’ ELIMINAR GRASA ABDOMINAL: http://bit.ly/1U47wYB 
RUTINA DE ABS &amp; GLÚTEOS: http://bit.ly/1UhpMy8 
EJERCICIOS GLÚTEOS PERFECTOS: http://bit.ly/1S2S2ho 
ABDOMEN PLANO: http://bit.ly/1MzbSPA 
♡♡ GRACIAS POR VERME ♡♡</t>
  </si>
  <si>
    <t>Video sobre la Prueba de Concepto realizada entre Intel y el Instituto de Profesorado Sara C Eccleston durante 2014</t>
  </si>
  <si>
    <t>VÉASE EL MAPA COMPLETO DE LA SERIE DE VIDEOS EN www.peristerilares.wordpress.com.
El tercer modo de conocer, sin el cual la reflexión no es posible. Veamos las facultades y el proceso.</t>
  </si>
  <si>
    <t>Es un taller demostrativo que le ayudará a usar la herramienta Excel</t>
  </si>
  <si>
    <t>La especialidad de Ciencias de la Información - PUCP presenta el segundo video de la serie “¿Qué hace un científico de la información?”. En esta entrega se habla de la "Alfabetización Informacional". Video producido por la Facultad de Letras y Ciencias Humanas de la Pontificia Universidad Católica del Perú.</t>
  </si>
  <si>
    <t>Leer y escribir son las 2 prácticas que en toda nuestra vida no dejamos de realizar, aprende cómo mejorar esta habilidad.
Visitanos en: www.grupoeditorialpegasso.net</t>
  </si>
  <si>
    <t>En esta edición revisaremos los conceptos de identidad digital y medidas de seguridad para proteger nuestra información personal. Así también conoceremos cómo, nuestra identidad digital, se va formando a través de las comunidades y redes sociales en internet.</t>
  </si>
  <si>
    <t>IPN - UPIICSA
ALFABETIZACIÓN DIGITAL
Alumnos: 
Medina Carleón Alan
Meza Gallegos Guillermo 
Rodríguez Morales Jorge</t>
  </si>
  <si>
    <t>La alfabetización ha supuesto a lo largo de la historia la puerta de acceso al conocimiento y a la ciencia.
Pérez Torero nos habla sobre los sistemas de transcripción, centrándose en el sistema alfabético conectado a la imagen.
---
WHAT IS LITERACY: Literacy, over the course of history, has represented to gateway to knowledge and science. Pérez TorNero talks about transcription systems, focusing on the alphabetic system linked to imagery.</t>
  </si>
  <si>
    <t>ALUMNOS:
ALEJANDRO HENAO VELÉZ
CRISTIAN VILLAMARÍN BEDOYA
ESTEFANIA MANRIQUE ALFONSO
KATHERIN DAHYANA COBO HOLGUÍN
NICOLE DAYANA FIGUEROA MORENO
SALOMÉ MEDINA RIVERA
VALENTINA GAVIRIA IDROBO
PRODUCCIÓN TEXTUAL
DOCENTE:
MARÍA ELENA VELASCO
GRADO UNDÉCIMO
INSTITUTO COMERCIAL SAN FRANCISCO DE ASÍS</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</si>
  <si>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</si>
  <si>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educación a distancia sigue siendo un desafío, y los docentes deben fortalecer competencias para interactuar en los entornos digitales. 
En el video de hoy conocerán la unidad 2:  Manejo de información del Curso de Alfabetización Digital.</t>
  </si>
  <si>
    <t>Hay dos formas de solucionar este problema
-Descargar el programa 3dp chip net desde el CELULAR! y conectar a la computadora sin internet para instalarlo
-Descargar el programa desde una computadora con internet y pasar a una usb
programa: http://www.3dpchip.com/3dpchip/3dp/net_down_es_mx.php</t>
  </si>
  <si>
    <t>► Curso de Ingles de Rodrigo (Índice de clases) → http://www.spanishfreelessonsonline.com/curso-de-ingles/
► Suscríbete para Aprender Ingles con Rodrigo→ https://www.youtube.com/c/cursodeinglesgratisfreespanishlessons?sub_confirmation=1
► Pruebas de Ingles y Exámenes → http://www.spanishfreelessonsonline.com/pruebas-de-ingles/
► Página oficial de Facebook → https://www.facebook.com/spanishfreelessonsonline/
► Súmate al Grupo de Facebook para el Curso de Ingles o el Curso de Aleman → https://www.facebook.com/groups/287281051431760/378174629009068
Para aprender ingles con el Playlist, mirando continuadamente todas las clases en secuencia: https://www.youtube.com/watch?v=utihnWdIci8&amp;list=PLKQEL9j11yiVwyR8XATxfhSTu5UbtL1Hw
Clases de ingles contenidas en este video:
Lección 1 - El abecedario en ingles / fonetica en ingles
Lección 2 - Vocabulario en ingles / Palabras en ingles y la fonetica inglesa
Lección 3 - Pronombres en ingles
Lección 4 - Verbos en ingles TO BE (ser/estar) y TO HAVE en ingles (haber/tener) - Principales verbos en ingles
Lección 5 - El verbo TO BE en ingles (ser/estar) - Simple Present
Lección 6 - El Verbo TO HAVE en ingles (haber/tener) - Simple Present
Lección 7 - Intr. verbos ingleses TO DO, TO MAKE, To WILL
Lección 8 - Verbo ingles TO DO (hacer) - Simple Present
Lección 9 - Verbo ingles TO MAKE (hacer) - Simple Present
Lección 10 - TO DO Vs TO MAKE (verbos mas importantes en ingles)
Lección 11 - Verbo ingles TO DO (hacer): el tiempo pasado en ingles
Lección 12 - Futuro en ingles - verbos ingleses TO DO y TO MAKE
Lección 13 - Pasado simple en ingles: Verbo TO MAKE
Lección 14 - Preguntas en ingles (Videos 1 y 2)
Lección 15 - Futuro en ingles - verbo ingles WILL
Lección 16 - Conjugacion de verbos en ingles: Futuro en ingles
Lección 17 - Cont. Tiempo Futuro en Ingles - Oraciones en ingles en futuro
Después de estudiar estas lecciones del Curso de Ingles de Rodrigo, sugiero entrar a mi página web para acceder a los Tests de Ingles. El test de ingles correspondiente a este conjunto de clases es el Nro. 1:
http://www.spanishfreelessonsonline.com/pruebas-de-ingles/</t>
  </si>
  <si>
    <t>Este es el Vídeo 1 de 20 donde aprenderás todo lo que se necesita saber para que enseñes a leer y escribir a niños y niñas, para que refuerces a niños más grandes que necesitan leer bien. Aprenderás un enfoque sencillo y que gusta mucho a los niños. Revisa en la caja de descripción de cada video te dejo material en cada vídeo. Todos los comentarios y dudas en cada video, te contestaré. Que te sea útil 
✎ Coaching Educativo: Licenciada en Ciencias de la educación: Alba Jiménez.
✎ Para contacto y prensa: alby.jimenez@gmail.com
✎ Suscribete y Comparte. Gracias
***LINK PARA MATERIAL DE APOYO***
http://soydocentemaestroyprofesor.blogspot.com/2016/08/material-de-apoyo-al-curso-como-ensenar.html
► NUESTRAS REDES SOCIALES ◄
→ FACEBOOK: 
www.facebook.com/ParaDocentes
→ Mi blog con temas educativos: soydocentemaestroyprofesor.blogspot.com.ar
→ SLIDESHARE: 
www.slideshare.net/albyjimenez
→Google Plus: https://plus.google.com/113848355916966692984
→Twitter:
twitter.com/AlbaMariluz
→Instagram:
instagram.com/alby.jimenez</t>
  </si>
  <si>
    <t>Conferencia de la Profesora Mirta Torres
Especialista en didáctica de la lengua
INNOVACIONES EDUCATIVAS
D.G.E.G.P.</t>
  </si>
  <si>
    <t>Los mejores atajos de teclado más útiles de la computadora 
15 funciones ocultas del de tu teclado
¿Aun no estás suscrito?
_xD83D__xDC49_ https://www.youtube.com/c/ElTíoTech?sub_confirmation=1
_xD83E__xDDE0_ ¿Interesado en aprender Excel, Word y PowerPoint?
✅ Revisa nuestros cursos GRATIS aquí: https://eltiotech.com
Síguenos en las Redes Sociales: 
Facebook: https://www.facebook.com/eltiotechh/
Instagram: https://www.instagram.com/luismiguelvelavela/</t>
  </si>
  <si>
    <t>hola amigos de youtube en este video te ensenare a como configurar tu wifi cuando te aparece un error no hay conexiones disponibles es muy molesto y aparte no te deja conectarte de ninguna manera</t>
  </si>
  <si>
    <t>¿Qué hace que un profesor o un maestro nos influya de manera decisiva en nuestras vidas? ¿Cómo hacemos para tener más de esos profesores? Oscar Ghillione tiene algunas ideas y un proyecto para lograrlo.
Oscar Ghillione sostiene que es posible que los chicos de contextos desfavorecidos aprendan y desarrollen sus habilidades en una trayectoria superadora. Desde 2009 es parte de TeachForAll, que actualmente reúne organizaciones independientes en 35 países, dedicadas a disminuir las desigualdades educativas y a crear un movimiento de jóvenes profesionales comprometidos con la educación de su país. Es Director Ejecutivo de Enseñá por Argentina. 
This talk was given at a TEDx event using the TED conference format but independently organized by a local community. Learn more at http://ted.com/tedx</t>
  </si>
  <si>
    <t>Claudio Naranjo es uno de los más lúcidos seres que transitan hoy la Tierra.  A sus 80 años y muchos títulos y carreras trascendidas, Claudio suma una aguda visión de la realidad de la humanidad, con una mirada desde la inocencia, especialmente desde el haber aprendido a ver el mundo sin la carga de tantos datos y conocimientos acumulados a lo largo de los años.
El "Conocimiento es Transformador" si se lo aplica de esta manera, como una herramienta más de las que tenemos, y no como la única.
Duración: 1 hora 50 minutos
http://asociacionsat.com.ar/</t>
  </si>
  <si>
    <t>Desde aqui podrás Aprender Completamente el uso de tu PC con Windows XP. Este Video Curso es Exclusivo para personas que no tienen conocimientos básicos de Computación. 
PERO SI QUIERES un Curso más Actualizado 2021 de Computación Desde Cero ENTONCES
ACCEDE A TODO LOS VIDEOS 2021 PASO A PASO Y EN ORDEN:
https://www.youtube.com/playlist?list=PLhtJgeWPO1R__Cuz0KIdCGPKnnCQrioKp
SUSCRIBETE A MI CANAL:
https://www.youtube.com/user/ronymb?s...
MI BLOG TUTORIALES:
►https://paraquelosepas.com
SITIO WEB CURSOS COMPLETOS:
►http://www.productodigital.net 
_xD83D__xDD34_APRENDE WORD BÁSICO ADULTOS _xD83D__xDC49_ https://youtu.be/gPlhLZcJ4t0
_xD83D__xDD34_Aprende a usar Camtasia Studio, CREA TUTORIALES PARA YOUTUBE _xD83D__xDC49_ https://bit.ly/3fiLTRg 
Sígueme en Facebook:  
►https://www.facebook.com/productodigital</t>
  </si>
  <si>
    <t>En el marco de la primera conferencia magistral sobre “Fortalecimiento de la Educación” incluida en la capacitación de docentes santafesinos y que forma parte del Convenio que recientemente firmó la titular de la cartera educativa con la Universidad Nacional Autónoma de México (UNAM), se contó con la presencia de dos importantes exponentes de nivel internacional: Díaz Barriga y Orozco Fuentes. Investigadores del Instituto de Investigaciones sobre la Universidad y la Educación (IISUE). Dicho convenio contempla el intercambio académico en relación al cambio curricular en el nivel terciario que está llevando adelante el Ministerio de Educación de Santa Fe, con la participación de los distintos actores de los institutos de formación docente.
En este sentido, Ángel Díaz Barriga, disertó sobre el “Curriculum en Educación” y sostuvo que cuando uno piensa un cambio curricular, una adecuación de planes de estudio, lo que uno se enfrenta es a un reto.</t>
  </si>
  <si>
    <t>Bienvenido a nuestro Canal-Alejandra M
Gracias por ver nuestro video.
Regálanos una sonrisa
Suscríbete y da like.
Esta es nuestro Blog donde encontraras recursos, imágenes, tutoriales y mucha información que te puede ayudar con el aprendizaje de Diseño
BLOGGER: http://agileurbia.com/7rGV
FACEBOOK: http://agileurbia.com/7qPb
Facebook: http://adf.ly/1eA5X5
********** *************************
AQUÍ DESCARGA LOS MATERIALES:
http://www.mediafire.com/download/llna77b6x7ye2x7/proyecto+fuegos+piro.zip
Facebook: http://adf.ly/1eA5X5</t>
  </si>
  <si>
    <t>Espero que les sirva este tutorial.
No importa que versión de Windows sea, el procedimiento es el mismo.</t>
  </si>
  <si>
    <t>Aca te muestro TEORIA + Practica , de como organizar una red pequeña, en este ejemplo tenemos una oficina chica de 5 puestos de trabajo en el cual, pusimos 3 terminales de red por puesto de trabajo e instalamos un rack y tiramos cables que no servian e instalamos cables de categoria 6.
Aca te recomiendo que veas estos videos que te van a dar un panorama mas grande de todo lo que se puede hacer en un rack
Como armar un rack basico
https://www.youtube.com/watch?v=gOQsSgu0IrU
Rack triton plegable
https://www.youtube.com/watch?v=Q2Uwtzq1S9E
Termostato para controla temperatura del rack
https://www.youtube.com/watch?v=YmD5dOQy7m8
Unboxing rack AMP
https://www.youtube.com/watch?v=oXaP7ot-6uQ
Servidor rackeable
https://www.youtube.com/watch?v=hlDFE4LFehI
Patcheras y organizadores de cables
https://www.youtube.com/watch?v=DAJJyaT3Ulc
Kvm Rackeable control de multiples PC
https://www.youtube.com/watch?v=t2JFmYn-LCg
Armado e impactado de fichas y rosetas RJ-45
https://www.youtube.com/watch?v=uvlisQIN4VA
Patch panel y rosetas
https://www.youtube.com/watch?v=n9CkYwfe8r0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</si>
  <si>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Conferencia dictada por el sociologo Emilio Tenti Fanfani en el marco del Seminario Provincial de Escuelas incluidas en el Programa  Integral por la Igualdad Educativa (PIIE), que se realizó en el Centro de Congresos y Exposiciones de la provincia de Mendoza, en la República Argentina</t>
  </si>
  <si>
    <t>¿Quieres comprar el curso completo con Video, Texto y Examen para poner a prueba tus conocimientos? obtenelo en: http://gabaktech.com/tienda/producto/curso-completo-de-redes-informaticas/
Introduccion a redes de computadoras - Mira el playlist completo y podras ver el curso completo.
Índice de los temas de los videos para que puedas saltar al tema de tu interés o podes ver el video completo si para comprensión del curso
1- Definición de una red (0:15) 
2-Razones para armar una red (9:44)
3-Diferencias entre clientes y servers (14:50)
4-Servers dedicados y peers (17:52)
5-Que cosas hacen funcionar una red (21:51)
6-Las PC ya no son personales (25:49)
7-Que es un administrador de redes (32:54)
8-Que diferencias hay entre recursos locales y recursos de la red (34:29)
9-Que es un nombre en la red (36:26)
10-Identificandose en la red (log in log out) (43:09)
11- Entendiendo carpetas compartidas (45:25)
12-buenas prácticas para el uso de carpetas compartidas (48:18)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</si>
  <si>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En este Canal podrás realizar consultas informáticas, ver consejos y guías de tecnologia, como también tutoriales de informática básica, espero les sea de gran ayuda
Has Clic en Me gusta  y Afíliate a nuestro Canal</t>
  </si>
  <si>
    <t>En este vídeo veremos los elementos básicos del Escritorio de Windows así como el manejo básico de las ventanas.  Se dará una introducción a la configuración del escritorio de Windows.</t>
  </si>
  <si>
    <t>Cualquier duda Suscribete QUIERES Ver mas VIDEOS? SUSCRIBETE  GRATIS</t>
  </si>
  <si>
    <t>Curso de Redes telemáticas. 1.1. Introducción. Conceptos básicos. 
Topologías de redes. Tipos de nodos y tipos de enlaces. Redes broadcast. Este es el primer vídeo del curso completo formado por 175 vídeos. Gratis. Desde nivel básico hasta nivel avanzado.
Autor de curso: Rogelio Montañana. 
Puedes ver todos los vídeos y las diapositivas de este curso desde la web: https://www.aulaclic.es/redes/index.htm
Más cursos gratis de informática en www.aulaclic.es</t>
  </si>
  <si>
    <t>Fragmento del programa Científicos Industria Argentina de Canal 7. Inés Dussel entrevistada por Adrián Paenza.</t>
  </si>
  <si>
    <t>Muchas veces utilizamos los términos Internet y Web como si significaran lo mismo, en este video te decimos que no es así y te explicamos cada uno de los términos.</t>
  </si>
  <si>
    <t>El Instituto Tlaxcalteca para la Educación de los Adultos, a través de sus plazas comunitarias y círculos de estudio proporciona servicios educativos a toda la población en general. Aprende a leer y a escribir o termina tu primaria o secundaria sin costo y con válidez oficial. 
Por un México con Educación de calidad para todos.
http://iteatlaxcala.inea.gob.mx</t>
  </si>
  <si>
    <t>Curso de programación profesional - Parte #1 Como aprender a programar desde cero. 
Este curso te proporcionara las bases de la programación y a su vez te ayudara a desarrollar las habilidades necesarias para ser un programador de éxito. Este curso es diferente a todo lo visto en la red ya que vas a programar sin escribir una sola linea de código.
¡¡Ayúdame a seguir creciendo, te invito a suscribirte!!
La Geekipedia de Ernesto
➞ Facebook https://www.facebook.com/LaGeekipediaDeErnesto/
➞ Instagram https://www.instagram.com/lageekipedia/
➞ Twitter https://twitter.com/LaGeekipedia
═════════════════════════════════════════
Descarga el software portable: https://goo.gl/9KwNL8
Descarga el instalador del software: https://goo.gl/EYMxpf
Descarga el software desde su sitio oficial: raptor.martincarlisle.com
═════════════════════════════════════════
Música:
1. Tobu - Candyland [NCS Release]
https://www.youtube.com/watch?v=IIrCDAV3EgI
Tobu
➞ SoundCloud https://soundcloud.com/7obu
➞ Facebook https://www.facebook.com/tobuofficial
➞ Twitter http://www.twitter.com/tobuofficial
➞ Spotify http://smarturl.it/Tobu_Spotify
 ═════════════════════════════════════════
Vídeo Final:
1. Mount Bromo HD Timelapse Movie by Justin Ng
https://www.youtube.com/watch?v=UNs7TkFvK-4
Follow Facebook: justinngphoto.com/facebook
Follow Twitter: twitter.com/justinngphoto
Follow Google+: plus.google.com/116998818067074636759
To join my photography community: mopsg.com</t>
  </si>
  <si>
    <t>Conoce las reglas 3 - 6 - 9 -12 para que los niños. niñas y adolescentes se acerquen gradualmente al mundo digital.
Sigue estas recomendaciones en esta temporada de vacaciones y activa #PoderDigital
Síguenos en:
Twitter http://twitter.com/EnTICconfio
Instagram http://instagram.com/EnTICconfio
Facebook http://fb.com/EnTICconfio.MinTic</t>
  </si>
  <si>
    <t>Curso básico de Redes infomaticas para principiantes .
-------------------------------------------
Website: http://lionsec.net
Download LionSec Linux : http://www.goo.gl/n5AOUo
Facebook: https://www.facebook.com/inf98
Mi Canal : https://www.youtube.com/user/inf98es
---Subcribete--</t>
  </si>
  <si>
    <t>En este vídeo explico como configurar una red domestica con Windows 7 para compartir ficheros y vídeos entre los equipos del hogar haciendo uso de lo que se denomina "grupo de hogar" en Windows 7</t>
  </si>
  <si>
    <t>¿La tecnología es un problema más para los profes? ¿Cómo enfrentarse a los ambientes virtuales de aprendizaje? 
Aquí pueden ver un videojuego para niños de preescolar realizado por CuriosaMente: http://curiosamente.com/material-didactico
Este video se realizó para un curso sobre educación virtual y está dirigido a profesionales de la educación. Sin embargo, el tema puede ser interesante para todos y hemos decidido compartirlo aquí.  Deseamos que les guste.
Agradecemos al Maestro Manuel Moreno Castañeda, productor de este video.
BIBLIOGRAFÍA (Los libros recomendados)
Delors, Jacques. La educación encierra un tesoro.
Marzano, Robert. Dimensiones del aprendizaje.
Moreno, Manuel. Docencia significativa en entornos complejos.
Morin, Edgar. Siete saberes necesarios para la educación del futuro.
De Francesc Pedró:
Tecnología y escuela: lo que funciona y por qué, http://www.fundacionsantillana.com/upload/ficheros/noticias/201111/documento_bsico.pdf
Tecnología para la mejora de la educación,
http://www.fundacionsantillana.com/upload/ficheros/noticias/201502/documento_basico_xxix_semana_monografica.pdf
CRÉDITOS
Contenido: Manuel Moreno Castañeda
Guion y dirección: Tonatiuh Moreno
Ilustración: Sandra Cárdenas, Ruy F. Estrada, Tonatiuh Moreno
Voz: Javier Lacroix y Karla Constantini
Música: Maricarmen Camarena &amp; Jorge Verdín
¡Apóyanos y únete al club! https://www.patreon.com/curiosamente
Síguenos en Twitter:
https://twitter.com/curiosamente
Danos Like en Facebook:
https://www.facebook.com/CuriosaMenteTV
Síguenos en Instagram:
https://instagram.com/curiosamentetv/</t>
  </si>
  <si>
    <t>Primer vídeo del Curso de Iniciación a Community Manager en el que introducimos a los alumnos al uso de las Redes Sociales como medio de promoción personal y empresarial.</t>
  </si>
  <si>
    <t>Literacidad Digital en la Universidad Veracruzana.</t>
  </si>
  <si>
    <t>Este es un video del diplomado “Saberes Digitales para Profesores” del Sistema Nacional de Educación a Distancia (SINED), realizado por Miguel Casillas y Alberto Ramírez Martinell.</t>
  </si>
  <si>
    <t>En el Liceo Freire proponemos en la edad preescolar estimulación para la lectura rapida y comprensiva con elementos de programación neurolinguistica.</t>
  </si>
  <si>
    <t>Divulgador tecnológico y empresario. Amante de la TIC como herramienta para formar ciudadanos más libres y felices. Fundador de Adama Web y de Blogoff.es (foto: Bitacoras.com)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</si>
  <si>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Reportaje donde se explica de forma accesible los principios de como funciona la red Internet. 
No hacen falta conocimientos de Informática, Redes o Telecomunicaciones para entenderlo.
Solo se ha utilizado Software Libre para crear este contenido.
Este contenido es de libre distribución bajo la licencia http://creativecommons.org/licenses/by-nc-sa/3.0/deed.es_ES</t>
  </si>
  <si>
    <t>¿Es cierto que la tecnología de por sí es buena para la educación? ¿Cambiar a un formato tecnológico mejora los aprendizajes? Fran García, ingeniero de soluciones de Google for Education, reflexiona sobre las dudas y las soluciones que nos presenta la tecnología aplicada a la educación. La tecnología no es un fin, sino un medio. ¿Cuál es el fin de la educación? ¿Cómo podemos preparar a los estudiantes para que puedan realizar su trabajo futuro de la mejor manera posible? 
La presentación '¿Es realmente verdad que la tecnología mejora la educación?'  forma parte de la sesión plenaria sobre 'Investigación, Desarrollo e Innovación en Educación' del XVII Encuentro Internacional Virtual Educa Puerto Rico 2016 #VE2016PR.
Grabado el 23 de junio de 2016 en el Centro de Convenciones de Puerto Rico.
Virtual Educa es una iniciativa de la Organización de Estados Americanos que promueve el diálogo multisectorial para la transformación social de los pueblos de América Latina y el Caribe a partir de la la innovación educativa.
http://virtualeduca.org
Sígue las novedades de Virtual Educa en Twitter: http://twitter.com/virtualeduca
Puedes darnos tu Me Gusta en Facebook: http://facebook.com/virtualeduca
Suscríbite a nuestro canal: http://youtube.com/canalvirtualeduca</t>
  </si>
  <si>
    <t>La velocidad es el signo de la nueva era Digital.  El mundo está en constante cambio. Todo evoluciona, Todo se transforma. 
Desde https://www.clavei.es/  queremos compartir contigo los 9 Retos de la Transformación Digital en los que podemos ayudarte:
0:35 Sitúa a tus clientes en el Centro de tu Estrategia Digital. 
0:48 Ecommerce, si tu cliente compra Online, Vende Online. 
1:07  Utilizar el Marketing Online para atraer a tus clientes Potenciales.
1:34 Digitaliza tus Procesos estratégicos para ganar en competitividad aplicando metodologías ágiles.
1:56 Es necesario contar con un plan de contingencia en CiberSeguridad para activarlo cuando lo necesitemos. 
2:17 Mejora el rendimiento de tu Infraestructura IT.
2:37 Conecta tu negocio en cualquier momento, en cualquier lugar gracias al CLOUD. 
2:59 Business Analytics: Mejora la toma de decisiones de forma ágil  desde cualquier área de tu negocio.
3:17 Talento Digital: Atrae el Talento Digital que tu empresa necesita. 
¿Te apuntas al reto? https://www.clavei.es/</t>
  </si>
  <si>
    <t>Emilia Ferreiro describe el contexto de la enseñanza de la lectura antes de la introducción de la tecnología como herramienta didáctica
Webcast de Formación leer.es</t>
  </si>
  <si>
    <t>Presentación de TicAdd: programa para la Alfabetización Digital Divertida.</t>
  </si>
  <si>
    <t>Objetivo: Que el alumno redacte descripciones breves a partir de imágenes.</t>
  </si>
  <si>
    <t>Esta es una clase donde se trabaja la lectura y escritura de poemas. Fue tomada de un programa de alfabetización inicial  para plurigrado en escuelas rurales, aplicado en  una localidad de Chaco.  Te invitamos a ver el video teniendo en cuenta las claves didácticas, para focalizar la mirada en los distintos aspectos del aprendizaje a resaltar.</t>
  </si>
  <si>
    <t>Video que hace referencia al concepto de alfabetización basado en varios autores.</t>
  </si>
  <si>
    <t>Este vídeo habla de cómo conseguir que toda una clase se quede en silencio en el momento en que nosotros lo deseemos. 
Pero cuidado! los niños necesitan hablar, y comunicarse entre ellos, no conviertas la clase en un velatorio!!
Y cuando lo hayas probado, cuéntame como te ha ido!
Si te ha gustado este vídeo y quieres conseguir más información. . . A PARTE DE VISITAR OTROS VÍDEOS MÍOS.... ;)  Échale un vistazo a estos genios de la comunicación que te van a contar cosas increíbles de donde, estoy seguro, vas a sacar muchísimas ideas!!
Eduard Punset
https://www.youtube.com/watch?v=TetyAOGEDD0&amp;list=PL8CC995ECDAB92375
Cortos sobre educación emocional
https://www.youtube.com/watch?v=BVtI0Yb_Enc&amp;list=PLr9uLO6EONT7cYXuZNH3q42sZ3OVjfz-o
Neurociencia
https://www.youtube.com/watch?v=cud6MoCot4A
Escuela Waldorf documental
https://www.youtube.com/watch?v=tZmAX5adCl0
Montessori works
https://www.youtube.com/user/myworksmontessori</t>
  </si>
  <si>
    <t>Presentación de apoyo para preparar a docentes acerca de la importancia de la alfabetización digital en la era de la información.--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</si>
  <si>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Trabajo realizado por Jesica Alonso y Juan Carlos Bernabeu, alumnos de 4º de ESO del IES Joanot Martorell de Elche/Elx (Alicante) dentro de la asignatura Educación Plástica y Visual. 
Se trata de una animación realizada con la técnica del stop motion.
Junio de 2012</t>
  </si>
  <si>
    <t>Definición de Alfabetismo Emergente y niveles de formación docente de acuerdo con la UNESCO--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</si>
  <si>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In this video, I teach you how to edit epic hype reels like a professional and I even give away a few secrets. 
_xD83D__xDD25_ MERCH STORE ‎️‍_xD83D__xDD25_
https://beyond-the-game-tv-store.creator-spring.com/listing/move-ref-i-m-filming?product=46
_xD83C__xDFA5_ My game day filming kit _xD83C__xDFA5_
https://www.amazon.com/shop/beyondthegametv
_xD83C__xDFB5_ MELODIE SUBSCRIPTION _xD83C__xDFB5_
Cheapest professional option for YouTubers https://bit.ly/2TSIaVj
Use my promo code BEYONDTHEGAMETV for 20% off.
_xD83C__xDFB5_ ARTLIST SUBSCRIPTION _xD83C__xDFB5_
Best for videographers making videos for clients (2 months free)
http://tiny.cc/ArtlistBeyond
_________
Like our content? Subscribe for more awesomeness!
https://bit.ly/2mHdMcm
Also visit our HQ. You'll find a tone of great content and also ways to reach out to us directly or through our social media accounts. http://beyondthegame.tv/
_________
#SportsVideography #Tutorial #4FansByFans _xD83C__xDDE6__xD83C__xDDFA_ #SportVideoTips #HowTo #HypeReel #SportVideos #HighlightReel #ShowReel</t>
  </si>
  <si>
    <t>Director/Editor: Brenden Williams - brendenwilliams.net</t>
  </si>
  <si>
    <t>Erasmo Martínez, beneficiario de #MisiónTIC2022, nos cuenta sobre su experiencia en el programa y a la vez invita a los colombianos a que se inscriban para aprender habilidades en programación.</t>
  </si>
  <si>
    <t>Conversamos con Maite Vizcarra, especialista en tecnología e innovación. 
SUSCRÍBETE ► http://ow.ly/Uzfi3 
Web: http://www.rpp.pe  
Twitter: https://twitter.com/RPPNoticias
Facebook: https://www.facebook.com/rppnoticias?ref=ts&amp;fref=ts
RPP Noticias te informa primero, noticias del Perú y el mundo, las 24 horas del día.</t>
  </si>
  <si>
    <t>¡Los medios comunitarios también estarán presentes en Colombia 4.0! 
El evento de contenidos digitales y del sector TIC más importante del país y uno de los más grandes de América Latina.
Con una agenda de lujo y más conocimiento para compartir, los medios comunitarios tendrán su espacio por primera vez en este gran evento y queremos que también seas protagonista.
Conéctate hoy y sabrás cómo.
 _xD83C__xDF0E_Inscríbete aquí _xD83D__xDC49_ https://col40.co/user/register _xD83D__xDCF2_</t>
  </si>
  <si>
    <t>¿Cómo hacer fundas para telefono caseras? Ahora puedes tener todos los modelos de fundas para celular que quieras porque puedes hacerlos tú mismo, te enseño cómo hacer fundas hechas a mano que se pueden usar de verdad, son manualidades fáciles que los niños pueden hacer
 Más tutoriales de Fundas Caseras: https://goo.gl/N5qMJR
---------------------------------------------------------------------------------------------
Este vídeo es una colaboración con http://zaful.com 
Tech Accessories:  https://www.zaful.com/tech-accessories-e_136/ 
DIY material and toys:  https://www.zaful.com/promotion-diy-material-special-1215.html 
Home Decor:  https://www.zaful.com/home-blankets-e_79/ 
Makeup brushes:  https://www.zaful.com/s/makeup-brushes/
---------------------------------------------------------------------------------------------
Contacto (solo para negocios): isabel@elmundodeisa.com
---------------------------------------------------------------------------------------------
Facebook: https://www.facebook.com/isalunahe
Twitter: https://twitter.com/IsaLunahe
Instagram: http://instagram.com/Isalunahe
Sígueme también en Pinterest: http://pinterest.com/isalunahe/
--------------------------------------------------------------------------------------------
¿Donde consigo la musica para editar? http://share.epidemicsound.com/38jRR3 (aqui te dan 30 dias gratis para descargar toda la musica que quieras)
 Y SI TE GUSTÓ DALE ME GUSTA Y COMPARTELO, ¡¡GRACIAS!!</t>
  </si>
  <si>
    <t>Iván Ortega ve en la programación una base para emprender negocios que antes parecían imposibles, hasta que su hijo lo incentivó a convertirse en uno de los 100 mil programadores que se graduarán de Msión TIC 2022, ¡la carrera del futuro! Conoce su testimonio.</t>
  </si>
  <si>
    <t>Bachillerato Virtual Universidad La Gran Colombia
Área: Psicología y Orientación
Tema: Servicio Social Estudiantil 
Docente: Lc. Luz Adriana Salinas.</t>
  </si>
  <si>
    <t>Roosevelt Pinto, artesano beneficiario de #VendeDigital en Belalcázar (Caldas), comenta que gracias al programa ha tenido crecimiento en sus ventas y visitas a sus redes sociales. Ahora vende sus productos en otras ciudades del país aprovechando lo aprendido en todas las capacitaciones.</t>
  </si>
  <si>
    <t>Alejandro se encarga de vigilar la conectividad, y que los programas y convocatorias del ministerio se ejecuten de una manera adecuada en el departamento.</t>
  </si>
  <si>
    <t>Aprende Cómo hacer un ebook profesional en minutos con este programa gratis Canva. ¡Cómo crear un ebook paso a paso!
» SUSCRÍBETE A MI CANAL https://noeliareginelli.com/YouTube
_xD83D__xDCCC_ ♥ Abre tu cuenta Canva: https://noeliareginelli.com/cuenta-canva
_xD83D__xDCCC_ ☛ PRUEBA CANVA PRO GRATIS POR 30 DÍAS: https://noeliareginelli.com/canvaPRO-30free
▣ Curso de Canva: http://noeliareginelli.com/cursocanva
▣ Revista Digital: https://youtu.be/Ka6ndJUcuoo
¡TE ESPERO EN MI GRUPO!
✏  https://noeliareginelli.com/GrupoDG
___
SÍGUEME O CONTÁCTAME POR AQUÍ
» Sitio Web https://noeliareginelli.com/ 
» Facebook https://www.facebook.com/NoeliaReginelli
» Instagram https://www.instagram.com/noeliareginelli/ 
» Twitter https://twitter.com/noeliareginelli 
» Pinterest https://www.pinterest.es/noeliareginelli/ 
___
MIRA MIS DISEÑOS Y PLANTILLAS DE CANVA:
https://www.canva.com/noeliareginelli
¿NECESITAS UN DISEÑO?
✉hola@noeliareginelli.com
♥ ¡Déjame tus comentarios! 
Un Abrazo, Noelia
---------------------------------------------- •NR</t>
  </si>
  <si>
    <t>¿Quiénes somos en la Red? Desde que Internet se instaló en nuestras vidas, somos lo que publicamos, lo que compartimos, con quien nos relacionamos e incluso lo que visitamos desde nuestros dispositivos. Y todo este rastro que vamos dejando es lo que compone nuestra identidad digital.
Lo entenderás mejor con un ejemplo a través de la hija de la familia Cibernauta. 
¡Asegúrate de construir una identidad digital positiva! 
¿Tienes dudas? ¿Hay alguna experiencia que quieres compartir?
¡Síguenos en nuestras redes, suscríbete y compártelo con el resto de los ciberusuarios!
▬▬▬▬▬▬▬▬▬▬▬▬▬▬▬▬▬▬▬▬▬▬▬▬▬
▶ ¡ SÍGUENOS ! ◀ Oficina de Seguridad del Internauta - OSI 
▬▬▬▬▬▬▬▬▬▬▬▬▬▬▬▬▬▬▬▬▬▬▬▬▬▬
► WEB ✔ https://www.osi.es/
► Boletines ✔ https://www.osi.es/es/boletines/suscr... 
►YouTube ✔ http://www.youtube.com/osiseguridad 
► Facebook ✔ https://www.facebook.com/osiseguridad
►Twitter ✔ https://twitter.com/osiseguridad 
►Línea de Ayuda ✔ ☎ 017 ☎ (gratuito y confidencial)</t>
  </si>
  <si>
    <t>¡Descubre nuevos talentos siendo parte de #MisiónTIC2022 !</t>
  </si>
  <si>
    <t>En Barranquilla, Maritza Plata asumió el reto de tomar los cursos en comercio electrónico y manejo de redes sociales que brinda el programa Vende Digital del Ministerio TIC, para dar a conocer su emprendimiento de paletas 'Sano Pecado' y atraer más clientes.</t>
  </si>
  <si>
    <t>Conoce a Samuel Álvarez, un joven beneficiario de #MisiónTIC2022 de Villavicencio - Meta, quien sueña con poder ayudar a partir de la programación a administrar de forma más eficiente la finca ganadera familiar, y las de su región.</t>
  </si>
  <si>
    <t>Desde Florencia, Caquetá, Carlos Sneider Soto destaca las clases de programación e inglés que ha tomado con Misión TIC 2022, las cuales le han permitido ser más recursivo y potenciar sus habilidades digitales.</t>
  </si>
  <si>
    <t>Programar le permite tener autonomía y libertad a Matías Sánchez, estudiante de Misión TIC 2022, para desarrollar sus ideas y trabajar en busca de su sueño de mejorar los procesos educativos en Colombia ¡Contágiate de su pasión!</t>
  </si>
  <si>
    <t>Sin conocimientos previos, Edna Salamanca, ama de casa bogotana, decidió estudiar programación con Misión TIC 2022 para acceder a mejores oportunidades laborales y destacarse en esta carrera del futuro ¡La perseverancia lo puede todo! Conoce su historia.</t>
  </si>
  <si>
    <t>El Ministro TIC, Diego Molano Vega, explica como Colombia logrará dar el salto tecnológico
Mayor información en www.vivedigital.gov.co</t>
  </si>
  <si>
    <t>Fundesor comparte contigo algunos verbos en Lengua de Señas Colombiana.
Suscríbete a nuestro canal y comparte este video con tus contactos!</t>
  </si>
  <si>
    <t>Las nuevas herramientas digitales le pueden abrir muchas puertas a usted y a su comunidad y, aunque no lo crea, existen cursos gratuitos para aprender!</t>
  </si>
  <si>
    <t>Find out what digital literacy is in the first episode of our Digital Literacy course – part of our 'Go The Distance' course, giving you the skills and knowledge you need to be a top-class distance learner!
For more information about digital literacy, English language and study skills for distance learners, visit us at http://www.bbc.co.uk/learningenglish/gothedistance.
To find out more about our partner, The Open University, go to http://www.open.edu/openlearn/tv-radio-events/events/go-the-distance.</t>
  </si>
  <si>
    <t>Vídeo realizado como ejercicio académico del curso Gerencia del conocimiento y la tecnología de la especialización en  Gerencia de proyectos de la UNIMINUTO.</t>
  </si>
  <si>
    <t>El joven comenzó vendiendo empanadas en la calle y hoy es dueño de una exitosa panadería en Colombia.
SUSCRÍBETE: http://bit.ly/1HwWM9Y
Al Rojo Vivo:
“Al Rojo Vivo con María Celeste” es una revista noticiosa que, en una hora, lleva al televidente en un recorrido a través del mundo. Es una “paella informativa” que ofrece algo para todos los gustos: noticias locales e internacionales, entretenimiento, moda, entrevistas en vivo, investigaciones especiales, notas de interés humano, salud, alertas al consumidor y lo nuevo en tecnología.
Telemundo App
Telemundo - Capítulos Completos es tu destino digital para disfrutar la programación que te gusta! Mira episodios completos de tus shows favoritos de Telemundo, televisión en vivo y contenido exclusivo al descargar el app Telemundo - Capítulos Completos y entrar con tu cuenta de proveedor de TV.
Telemundo
Es una empresa de medios de primera categoría, líder en la industria en la producción y distribución de contenido en español de alta calidad a través de múltiples plataformas para hispanos en los Estados Unidos y alrededor del mundo. La cadena ofrece producciones dramáticas originales de Telemundo Studios – el productor #1 de contenido en español de horario estelar – así como contenido alternativo, películas de cine, especiales, noticias y eventos deportivos de primer nivel, alcanzando el 94% de los televidentes hispanos en los Estados Unidos en 210 mercados a través de 17 estaciones propias y 57 afiliadas de TV abierta. Telemundo también es propietaria de WKAQ, una estación de televisión local que sirve Puerto Rico. Telemundo es parte de NBCUniversal Telemundo Enterprises, una división de NBCUniversal, una de las compañías líderes en el mundo de los medios y entretenimiento. NBCUniversal es una subsidiaria de Comcast Corporation.
FOLLOW US TWITTER: http://bit.ly/1FcNEf3
LIKE US ON FACEBOOK: http://bit.ly/1xwNmKZ
Joven colombiano se convierte en un exitoso empresario a sus 23 años | Al Rojo Vivo | Telemundo
youtube.com/c/alrojovivo</t>
  </si>
  <si>
    <t>Amigos, en este video hago una sencilla comparación entre la router de superficie vs la fresadora de cantos, dos maquinas muy necesarias para el trabajo de carpintería en madera.
Este video es gracias al apoyo de www.aritrans.cl
Para todos mis proyectos estoy usando la cola fria Grip Bond 3 de Lanco, la cual considero muy buena y se las recomiendo absolutamente.
Respecto de las herramientas de medición estoy usando de la marca www.starrett.com y me parecen increíbles, estas herramientas son muy precisas y son las joyas del taller.
Link de mi curso de carpintería en Crehana:
http://bit.ly/Crehana-introduccion-a-la-carpinteria
Tambien me puedes seguir en Instagram:
https://www.instagram.com/carpinterodeldesierto
Trabajo realizado desde mi taller de carpintería en Calama Chile, el desierto de Atacama, el más árido del mundo.
Puedes visitar mi pagina de Web:
https://www.carpinterodeldesierto.com
Agradecido de www.kroki.cl  que desarrolló mi pagina web, de forma gratuita.
Puedes visitar mi pagina de facebook:
https://www.facebook.com/carpinterodeldesierto
saludos y bendiciones.</t>
  </si>
  <si>
    <t>Un regalo para ti _xD83C__xDF81_
https://www.youtube.com/watch?v=s9vjx1lOJDg&amp;list=PLL_KH17JlHx_iZJG6QSHq7zjIuiS5fUNv</t>
  </si>
  <si>
    <t>La alfabetización digital en el marco de la educación a distancia
#JuntosEnCasa
Estamos listos para una nueva charla en vivo.
¡Dale Play! _xD83D__xDE0A_
#SéParteDelCambio #QuédateEnCasa #Corefo #AprendoEnCasa #Educación #FBLive #Streaming</t>
  </si>
  <si>
    <t>El estudio de mercado debe formar parte de cualquier planificación de negocios, pero a menudo el pequeño emprendedor lo pasa por alto, cometiendo un terrible error.
http://www.lasleyesdelexito.com - Alex Arroyo, profesor, autor y conferenciante internacional sobre desarrollo personal y profesional. Ayudo a personas y empresas a explotar sus dones y talentos.
He escrito 4 libros, entre ellos "El Millonario anónimo", que está a la venta en España y América: 
https://www.youtube.com/watch?v=aPJ-YcesPew
Puedes encontrarme en:
*** Youtube: http://goo.gl/g4lros
*** Web: http://www.lasleyesdelexito.com
*** Twitter: https://twitter.com/alexarroyocarbonell
*** Facebook: https://www.facebook.com/alexarroyocarbonell</t>
  </si>
  <si>
    <t>Teaching technology at Meyer Elementary School goes beyond showing kids how to use email and apps. Integrating technology with other content demonstrates how students can apply it to real-world, relevant situations.
Meyer Elementary School
GRADES K-4 | LEXINGTON, MI
Explore more resources from this school:
https://www.edutopia.org/school/meyer-elementary-school</t>
  </si>
  <si>
    <t>En Convergencias y Divergencias se aborda el tema de la brecha digital que aún existe en México, con respecto al acceso a la tecnología.
7 de enero de 2019
COMENTA ESTE VIDEO Y COMPARTELO CON TUS AMIGOS
Para más información entra: http://www.youtube.com/excelsiortv
No olvides dejarnos tus comentarios y visitarnos en
Facebook: https://www.facebook.com/ExcelsiorMex
Twitter: https://twitter.com/Excelsior_Mex
Sitio: http://www.excelsior.com.mx/tv
Suscríbete a nuestro canal: https://www.youtube.com/channel/UClqo4ZAAZ01HQdCTlovCgkA</t>
  </si>
  <si>
    <t>Un video que explica qué es la escuela como nodo de alfabetización digital. Este recurso forma parte de la serie Microaprendizaje ¿Qué es? del área Aprender Conectados.</t>
  </si>
  <si>
    <t>Una caracterización de Alfabetización digital, sus niveles y cómo mejorarla en nosotros los maestros. 
Para profundización en estos temas podría interesarle:
-UNESCO (2008), Estandares de competencia en TIC para docentes, Londres</t>
  </si>
  <si>
    <t>Se trata de un video que plantea interrogantes en torno al uso que hacen los ciudadanos de Internet para buscar temas de salud. Se introduce además el concepto de alfabetización digital sanitaria</t>
  </si>
  <si>
    <t>Ángel Pérez, Catedrático de Didáctica y Organización Escolar en la Universidad de Málaga (UMA). Este experto en educación formal, analiza el papel de la inclusión en la escuela pública, los modelos de aprendizaje actuales y hacia dónde debe dirigirse la educación del siglo XXI #creatividad_inclusiónMPM</t>
  </si>
  <si>
    <t>Salud Pública está presente en nuestro día a día, en cada cosa que hacemos en beneficio de nuestra salud. Cada detalle cuenta.</t>
  </si>
  <si>
    <t>Este vídeo es un resumen de los distintos epígrafes que componen un proyecto o protocolo de investigación. Se dedica especial atención a la coherencia entre la pregunta, los objetivos, la hipótesis y la metodología.
---
Creative Commons: Reconocimiento - No Comercial - Sin Obra Derivada (CC BY NC ND).
http://creativecommons.org/licenses/by-nc-nd/4.0/deed.es_ES</t>
  </si>
  <si>
    <t>El 10 y 11 de agosto en la sede central de UEPC se desarrollaron los dos primeros encuentros del curso de Gestión que UEPC dicta en convenio con FLACSO. Participan de este trayecto de formación 450 compañeros de toda la provincia. Flavia Terigi coordinó "El curriculum en acción: los actores institucionales y la cotidianeidad". Te ofrecemos toda la conferencia dividida en cinco partes. (Quinta Parte)</t>
  </si>
  <si>
    <t>Seminario dictado por la Prof. marta zamero.</t>
  </si>
  <si>
    <t>Indicaciones para la defensa de TFG/TFM
Dr. Ignacio Ceballos</t>
  </si>
  <si>
    <t>Una breve descripción sobre que es la Competencia Digital y como se puede trabajar con las TICs en las escuelas realizado por Manuel Area, Profesor de la Universidad de La Laguna</t>
  </si>
  <si>
    <t>Los círculos de alfabetización son la propuesta del gobierno para luchar contra este problema.</t>
  </si>
  <si>
    <t>Links para Descargar el software de X-VPN :
PC/Mac : http://bit.ly/xvpndownload
Smartphone: https://app.adjust.com/fvrig8
(Detectará automaticamente si usas Android o IOS y te enviará a la tienda correspondiente)
Los 5 bugs de seguridad mas grandes en los últimos tiempos https://www.youtube.com/watch?v=SFKOpgNoDrU
Las VPN son una vieja pero bastante útil tecnología, apuesto a que no conocías todo lo que puedes hacer con ellas, descúbrelo en este video. Un agradecimiento muy especial a X-VPN por patrocinar este video
Mantente en contacto conmigo:
https://www.facebook.com/giocodee/
https://twitter.com/giovaelpe
https://plus.google.com/u/0/+giova50000
Concursos, Sorteos y mas en mi patreon
http://patreon.com/giocode
O si simplemente quieres hacerme una donación:
paypal.me/giovaelpe
Visita mi blog para tutoriales de programación:
http://giovaelpetv.blogspot.com/
Grupo para compartir noticias e información de informática, tecnología y Hacking Ético:
https://www.facebook.com/groups/600877406926458
Grupo para compartir tutoriales de programación
https://www.facebook.com/groups/119217145422978/
Conectate a mi red de Linkedin:
www.linkedin.com/in/wilman-giovanni-el-zelah-pellegrino-b2a97b120
Fuentes y otros enlaces de utilidad:
https://www.techradar.com/news/10-things-you-didnt-know-you-can-do-with-a-vpn
https://www.vpnuniversity.com/learn/what-you-can-do-with-a-vpn
https://www.le-vpn.com/15-cool-exciting-ways-use-vpn/
Atribuciones:
Internet Security Padlock for VPN &amp; Online Privacy por Mike MacKenzie Image via www.vpnsrus.com
https://www.flickr.com/photos/mikemacmarketing/35366000233
Image via www.vpnsrus.com https://www.flickr.com/photos/collinanderson/2319603510
https://commons.wikimedia.org/wiki/File:Medical-cannabis-card-california.jpg
https://www.flickr.com/photos/equinoxefr/6857189595
https://commons.wikimedia.org/wiki/File:Hacking.we_are_the_hackers.jpg
Photo by CafeCredit under CC 2.0  https://www.flickr.com/photos/cafecredit/30931037323
Descargo imágenes y clips de video libres de derechos de estas páginas:
https://pixabay.com/
http://videvo.net/
https://commons.wikimedia.org/wiki/Main_Page
https://videos.pexels.com/
https://es.videezy.com/
https://archive.org/</t>
  </si>
  <si>
    <t>Síntesis de aspirina, haciendo uso de un microondas convencional, purificación de la misma y ensayo con FeCl3 para la comprobación de su obtención.
---
Creative Commons: Reconocimiento - No Comercial - Sin Obra Derivada (CC BY NC ND).
http://creativecommons.org/licenses/by-nc-nd/4.0/deed.es_ES</t>
  </si>
  <si>
    <t>Video resumen con los galardonados de la Convocatoria 2020 de Scratcheando</t>
  </si>
  <si>
    <t>Te invitamos a realizar y enviar tu proyecto al concurso Bibliotraileeres del portal leer.es</t>
  </si>
  <si>
    <t>Video resumen con los galardonados de la convocatoria 2020 de Bibliotráileeres.</t>
  </si>
  <si>
    <t>Ganador. Primaria. Bibliotraileeres 2020.
CEIP Mª Teresa Iñigo de Toro - Valladolid 
Autor: Héctor Muñoz Díez</t>
  </si>
  <si>
    <t>Mención especial del jurado. Primaria. Bibliotraileeres 2020.
CEIP Mª Teresa Iñigo de Toro - Valladolid</t>
  </si>
  <si>
    <t>Vídeo informativo con proyectos y recursos del portal leer.es</t>
  </si>
  <si>
    <t>Vídeo de presentación del bloque temático del proyecto Crece leyendo conmigo dedicado a la promoción de hábitos saludables. Más información https://leer.es/proyectos/crece-leyendo-conmigo</t>
  </si>
  <si>
    <t>Anímate a participar en la convocatoria Scratcheando del portal leer.es</t>
  </si>
  <si>
    <t>Vídeo de presentación del bloque temático del proyecto Crece leyendo conmigo dedicado al desarrollo sostenible. En este vídeo se ofrecen algunas de las claves para comprender qué significa el desarrollo sostenible, la importancia de los objetivos de desarrollo sostenible y nuestra implicación para cumplirlos.
Más información https://leer.es/proyectos/crece-leyendo-conmigo</t>
  </si>
  <si>
    <t>Vídeo de presentación del bloque temático del proyecto Crece leyendo conmigo dedicado a la convivencia. Más información https://leer.es/proyectos/crece-leyendo-conmigo</t>
  </si>
  <si>
    <t>Bibliotraileeres 2020. Secundaria. Sonidos del corazón
Instituto Español Lope de Vega- Nador</t>
  </si>
  <si>
    <t>Vídeo de presentación del bloque temático del proyecto Crece leyendo conmigo dedicado a las alfabetizaciones múltiples. Más información https://leer.es/proyectos/crece-leyendo-conmigo</t>
  </si>
  <si>
    <t>Curso gratis: http://luisrs.co/vcgratis
Artículo completo en: http://luisrsilva.com/como-ganarle-a-la-competencia/
En este video hablo sobre la Percepción y por que es importante entenderla en el momento de promover nuestros productos o servicios.
======
Vídeo curso gratuito:
"Cómo crear una página web profesional para tu negocio" - accede gratis aquí: http://luisrs.co/vcgratis
======
Te invito a ser parte de mi lista de contactos para que no te pierdas más contenido que voy a enviar sobre estrategias de marketing por internet - visita este enlace: http://luisrsilva.com/
Estrategias de mercadeo digital para conseguir más clientes y aumentar ventas con la ayuda de la tecnología y el internet.
▶︎  SUSCRÍBETE A ESTE CANAL: http://www.luissilva.tv ◀︎
▶︎ Únete a mi lista de contactos en https://www.luisrsilva.com/
▶︎ Suscríbete a este canal en http://www.luissilva.tv
▶︎ Facebook: https://www.facebook.com/LuisNoMarketing
▶︎ Twitter: https://twitter.com/LuisNoMarketing
▶︎ Google Plus: https://plus.google.com/114584904261736405866/</t>
  </si>
  <si>
    <t>Vídeo sobre "eLearning" integrado en curso sobre Tecnología Educativa.
---
Creative Commons: Reconocimiento - No Comercial - Sin Obra Derivada (CC BY NC ND).
http://creativecommons.org/licenses/by-nc-nd/4.0/deed.es_ES</t>
  </si>
  <si>
    <t>Te esperamos en nuestra TV-Online
http://cuentosparacrecer.org/tv-online/</t>
  </si>
  <si>
    <t>¿Qué tema te gustaría que publiquemos? Escribe tu idea en nuestro muro (http://www.facebook.com/carrerasfuturo). 
Descubre más sobre tu vocación en 
http://www.carrerasconfuturo.com/vocacion/informacion-vocacional/blog-vocacion/
Síguenos también en:
Twitter: http://www.twitter.com/carrerasfuturo</t>
  </si>
  <si>
    <t>La revolución digital está cambiando nuestro mundo y creando nuevas oportunidades más rápido que nunca. Los servicios básicos se están transformando en servicios electrónicos y el aprendizaje está cada vez más presente en internet. Pero sin alfabetización, las oportunidades del mundo digital se convierten en obstáculos: 750 millones de jóvenes y adultos aún no saben leer y escribir. 
Mientras se mantengan las diferencias en alfabetización, la brecha digital corre el riesgo de crecer y marginar aún más a las personas poco alfabetizadas o analfabetas. 
El vídeo fue producido para el Día Internacional de la Alfabetización 2017, bajo el tema “Alfabetización en un mundo digital”, para pedir acciones que ayuden a cerrar la brecha de la alfabetización como parte de la labor de promoción de la UNESCO. El Día Internacional de la Alfabetización 2017 se centra en los desafíos, las oportunidades y la necesidad de volver a analizar los desafíos que surgen en la evolución de la alfabetización en unas sociedades cada vez más digitalizadas. El Día Internacional de la Alfabetización (ILD, por sus siglas en inglés) es un evento anual fundamental para la promoción de la alfabetización que siempre se ha celebrado el 8 de septiembre desde 1946. 
Además de la celebración del evento mundial de la UNESCO, otras celebraciones y llamadas a la acción son organizadas alrededor del mundo por las Oficinas fuera de la Sede, Institutos, ONG, profesores, estudiantes y colaboradores. Encuentre más información sobre el Día Internacional de la Alfabetización 2017 en http://es.unesco.org/themes/alfabetizacion-todos/dia-alfabetizacion 
El vídeo fue producido por Rooftop en estrecha colaboración con la UNESCO. #DíaInternacionalDeLaAlfabetización</t>
  </si>
  <si>
    <t>Esta es la historia de Jack frente a los nuevos medios de comunicación y su poder. Vïdeo idea original de Paolo Celot, escrito por Susie Jones y animado por Pascal Giraud. Subido originalmente EAVIchannel.</t>
  </si>
  <si>
    <t>Videolección sobre las características de los entornos de aprendizaje online y de los objetos de aprendizaje.
---
Creative Commons: Reconocimiento - No Comercial - Compartir Igual (CC BY NC SA).
http://creativecommons.org/licenses/by-nc-sa/4.0/deed.es_ES</t>
  </si>
  <si>
    <t>Presentación sobre la Alfabetización digital o mediática comentada por Alfonso Gutiérrez</t>
  </si>
  <si>
    <t>Ingreso para el registro de asistencia: 
- Registro Zona Norte: http://bit.ly/3rekCVN
- Registro Zona Centro: http://bit.ly/319XBsC
- Registro Zona Sur: http://bit.ly/2PoU3QM
- Registro Zona Oriente: http://bit.ly/398kXTR
- Encuesta de satisfacción:  https://bit.ly/3dDrVS7</t>
  </si>
  <si>
    <t>Subscribe - https://www.youtube.com/subscription_center?add_user=MrBeancartoonworld
To find out more about Mr Bean visit:
Mr Bean on Facebook
http://www.facebook.com/mrbean
Follow us on Twitter
http://www.twitter.com/mrbean
Welcome to the Official Mr Bean Cartoon World channel! the home of Mr. Bean the animated series. On this channel you'll find clips and full episodes of your favourite funny man.</t>
  </si>
  <si>
    <t>Explicación breve y amena sobre la ética y civismo digital. --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</si>
  <si>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Little magician Rudra is learning new magic tricks every day from his grandfather Jai Singh. But the evil sorcerer Shakaal and his minions will do everything they can to stop Rudra from harnessing his powers. Join Rudra in his fight against evil now!</t>
  </si>
  <si>
    <t>"Nativos e inmigrantes digitales" es un texto del estadounidense Marc Prensky que nos permite reflexionar sobre la influencia de la tecnología en la educación, y por tanto como el maestro debe adecuarse a estas condiciones para poder formar y educar a sus alumnos de la manera más adecuada, dejando en ellos aprendizajes significativos y acordes a sus necesidades. --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</si>
  <si>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Nicole Gentile, PhD Candidate, provides an overview of basic microbiology and the concepts involved, including the bacterial growth curve and classifying organisms based on morphologies. This lecture describes blood, urine and skin/soft tissue cultures, focusing on the types of media, sample collection processes, culture procedures, as well as speciation and susceptibility testing. Basic staining procedures, such as the simple stain, gram stain, spore stain, negative stain, and acid fast stain are briefly discussed. Included in the staining procedure descriptions are explanations of the organisms that the stains identify. In addition to staining procedures, biochemical tests used for differentiating bacteria are covered. Concluding the lecture are some facts about fungi and viruses, focusing on the current 2009 novel H1N1 influenza pandemic.</t>
  </si>
  <si>
    <t>--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</si>
  <si>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Components from Hague, Cassie and Payton, Sarah (2010) 
Digital literacy across the curriculum. Futurelab
-- Created using PowToon -- Free sign up at http://www.powtoon.com/ .</t>
  </si>
  <si>
    <t>There are about 7,000 languages spoken around the world -- and they all have different sounds, vocabularies and structures. But do they shape the way we think? Cognitive scientist Lera Boroditsky shares examples of language -- from an Aboriginal community in Australia that uses cardinal directions instead of left and right to the multiple words for blue in Russian -- that suggest the answer is a resounding yes. "The beauty of linguistic diversity is that it reveals to us just how ingenious and how flexible the human mind is," Boroditsky says. "Human minds have invented not one cognitive universe, but 7,000."
Check out more TED Talks: http://www.ted.com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</si>
  <si>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Se presenta una descripción general de concepto de ciudadanía digital y sus implicaciones en la educación.--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</si>
  <si>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 Created using PowToon -- Free sign up at http://www.powtoon.com/join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</si>
  <si>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conciencia fonológica como zona de desarrollo próximo de la lectura inicial--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</si>
  <si>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¿Qué es la competencia digital docente?--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</si>
  <si>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#alfabetizacion #digital #pandemia</t>
  </si>
  <si>
    <t>MATERIAL DE APOYO PEDAGOGICO</t>
  </si>
  <si>
    <t>.</t>
  </si>
  <si>
    <t>Breve explicación general de qué son las TIC a través de dibujos.</t>
  </si>
  <si>
    <t>¿Qué implica la conducción de instituciones en tiempos de pandemia? ¿cómo fortalecer el rol directivo? ¿cuáles son las orientaciones para trabajar desde la gestión, la didáctica y el juego?
Toda la trayectoria de la destacada autora de Noveduc estuvo dirigida en una dirección donde la educación y las posturas ético-ideológicas se unen. Al igual que su formación, su práctica profesional ha permanecido siempre al servicio de la educación.
Conocé todos sus libros en: https://www.noveduc.com/RuthHarf/</t>
  </si>
  <si>
    <t>Este video explica de manera detallada los pasos para elaborar un proyecto de aprendizaje partiendo de una situación significativa que permite a los estudiantes a construir sus conocimientos.</t>
  </si>
  <si>
    <t>Te invito a compartir este breve webinar en el que reflexionamos sobre las herramientas TIC para trabajar en un #EntornoDigital.
Aquí el genially:
https://view.genial.ly/5ea2f04fd407580db9f8ff4c/interactive-content-webinar-herramientas-tic-para-un-entornodigital
https://www.pablodiaztenza.wixsite.com/autor</t>
  </si>
  <si>
    <t>#SHORTS</t>
  </si>
  <si>
    <t>El Ministerio de Educación a través de Enlaces, Centro de Educación y Tecnología, ha definido las habilidades que los estudiantes requieren para aprender en la era digital.
Ministerio de Educación - Gobierno de Chile.</t>
  </si>
  <si>
    <t>Un video que explica qué es Aprender Conectados. Este recurso forma parte de la serie Microaprendizaje ¿Qué es?</t>
  </si>
  <si>
    <t>Píldora educativa elaborada por Manuel Area, perteneciente al curso de "Acreditación como docente en titulaciones semipresenciales y en línea", organizado por el Vicerrectorado de Docencia de la Universidad de La Laguna.</t>
  </si>
  <si>
    <t>Entra en http://one.elmundo.es 
Suscríbete a nuestro canal de youtube: http://bit.ly/1JHCOQ1
Síguenos en Facebook: https://www.facebook.com/elfuturoesone
Síguenos en Twitter: http://www.twitter.com/elfuturoesone
Si tienen la fortuna de convivir con un niño pequeño, habrán observado como, desde muy temprana edad, intentan ampliar infructuosamente la cara de Doraemon (es un ejemplo) haciendo pinza con sus dedos sobre la pantalla de la televisión. Es, para ellos, un gesto tan natural como lanzar una pelota, garabatear en un papel o construir torres con piezas de madera. Parece como si vinieran con ello incorporado. Así es como se maneja una cuchara y así es como se interactúa con una pantalla. Gestos como tocar un icono para abrir una aplicación, deslizar los dedos para pasar imágenes o hacer scroll en una web son realizados por niños de todo el mundo con soltura. Sin necesidad de muchas explicaciones. Se trata de las primeras generaciones de seres humanos en nuestro Planeta que viven inmersos en un mundo conectado y digital.
Marc Prensky, escritor y educador estadounidense, bautizó a estos niños como “nativos digitales” en un artículo publicado en 2001. Una ocurrencia que creció y se popularizó hasta convertirse en un término usado de forma habitual para referirse a las generaciones que han crecido rodeadas de smartphones, ordenadores, tabletas y consolas de videojuegos. Prensky, que comenzó su carrera como profesor en el neoyorquino barrio de Harlem, ha impartido clases en todos los niveles, desde educación primaria hasta la universidad. En la actualidad -gracias a sus numerosos artículos y libros sobre el tema- está considerado un experto en la influencia de las nuevas tecnologías en la enseñanza.
Aquel famoso artículo comenzaba: “Me resulta sorprendente que en todo el alboroto y el debate generado estos días acerca del declive de la educación en Estados Unidos, estemos ignorando la más fundamental de sus causas. Nuestros estudiantes han cambiado radicalmente. Los estudiantes de hoy ya no son el tipo de personas para las que fue diseñado nuestro sistema educativo”. El pensamiento de Prensky pivota alrededor de la idea central de que los “inmigrantes digitales” -la mayoría de profesores- deberían cambiar sus métodos y discursos para satisfacer la forma de aprender y pensar de las nuevas generaciones que han crecido con la presencia constante de Internet en sus vidas. Polemista apasionado, Prensky no elude el debate y, a pesar de algunas críticas recibidas por quienes defienden un modelo más tradicional, se considera un optimista empedernido: “Veo lo que desean hacer los niños, lo que pueden hacer, lo que serán capaces de hacer (…) Este podría ser un mundo muy, muy, muy positivo”.
Texto: José L. Álvarez Cedena
#VodafoneOne</t>
  </si>
  <si>
    <t>Learning.com provides an easy-to-implement, complete instructional solution for kindergarten through eighth grade that covers the 12 essentials of digital literacy.</t>
  </si>
  <si>
    <t>Since 1967, International Literacy Day (ILD) celebrations have taken place annually around the world to remind the public of the importance of literacy as a matter of dignity and human rights, and to advance the literacy agenda towards a more literate and sustainable society. Despite progress made, literacy challenges persist with at least 773 million adults worldwide lacking basic literacy skills today.
International Literacy Day 2020 will focus on Literacy teaching and learning in the COVID-19 crisis and beyond with a focus on the role of educators and changing pedagogies. The theme will highlight literacy learning in a lifelong learning perspective and therefore mainly focus on youth and adults. The recent Covid-19 crisis has been a stark reminder of the existing gap between policy discourse and reality: a gap that already existed in the pre-Covid-19 era and is negatively affecting the learning of youth and adults who have no or low literacy skills and therefore tend to face multiple disadvantages. During Covid-19, in many countries, adult literacy programmes were absent in the initial education response plans, so the majority of adult literacy programmes that did exist were suspended with just a few courses continuing virtually, through TV and radio, or in open air spaces. 
Visit UNESCO’s official International Literacy Day website to learn more: https://en.unesco.org/commemorations/literacyday
#LiteracyDay</t>
  </si>
  <si>
    <t>La Dra. Mariana Maggio, reconocida docente de la Universidad de Buenos Aires brindó una charla mediante video conferencia cuyo eje temático fue “Enseñar en tiempos de pandemia”. 
Este evento, que contó con numerosos seguidores, se realizó bajo la modalidad de Webinar y fue organizado por el Departamento de Educación a Distancia de la UNCA.</t>
  </si>
  <si>
    <t>Media used to be straightforward. People produced things like magazines, newspapers, radio and television, then distributed them to the masses. Today, we have a network of digital connections with no beginning and no end. But there’s one thing about media that hasn’t changed: Media are constructions.
For more Digital Literacy 101 resources: http://mediasmarts.ca/teacher-resources/digital-literacy-101
Follow Us
Facebook: https://www.facebook.com/MediaSmarts
Twitter: https://twitter.com/MediaSmarts
Instagram: https://www.instagram.com/mediasmarts.ca/
----------------------
Our Digital Literacy 101 resources were developed with financial support from CIRA’s Community Investment Program and Innovation, Science and Economic Development Canada’s CanCode Program. The funding also supported a series of free digital literacy training workshops conducted by MediaSmarts in faculties of education across Canada.</t>
  </si>
  <si>
    <t>En todo el mundo, alrededor de 1600 millones de estudiantes no están asistiendo a clase debido a la COVID-19, ¿cuál será el impacto en la educación? El director global de Educación del Banco Mundial, Jaime Saavedra, explica este y otros temas claves, como las posibles tasas de deserción escolar, el efecto en la nutrición de los niños, los desafíos del aprendizaje a distancia y mucho más.
¿Todavía no se suscribió al canal de YouTube del Banco Mundial? ► ► ► http://wrld.bg/x4SB50x47Lu
Si quiere estar al día con temas del Banco Mundial lo invitamos a suscribirse a nuestro boletín semanal para obtener las últimas novedades en materia de desarrollo: http://wrld.bg/ygxO30pWDRM
ACERCA DEL GRUPO BANCO MUNDIAL
El Grupo Banco Mundial, una de las fuentes más importantes de financiamiento y conocimiento para los países en desarrollo, está integrado por cinco instituciones que se han comprometido a reducir la pobreza, aumentar la prosperidad compartida y promover el desarrollo sostenible.
Visite: http://bancomundial.org
Noticias: https://bancomundial.org/es/news
Eventos: http://envivo.bancomundial.org/
Síganos en las redes sociales ► ► ►
Facebook: http://www.facebook.com/bancomundial
Twitter: http://www.twitter.com/bancomundial
Instagram: http://www.instagram.com/bancomundial
LinkedIn: http://www.linkedin.com/worldbank</t>
  </si>
  <si>
    <t>Este vídeo pretende hacer la comparación entre lo que es una herramienta digital y un recurso digital.--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</si>
  <si>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¿Qué son los recursos educativos Digitales?
- Recursos educativos digitales abiertos
- Recursos multimedia e interactivos
- Recursos audiovisuales educativos
- Creacion de recursos multimedia interactivos</t>
  </si>
  <si>
    <t>Recuerda que si quieres que el resumen aparezca más tiempo, nada mas le pones en la opción "Display at" unos 10 segundos en lugar de 3 como está en el video. | 
® Eric Efrain Solano Uscanga</t>
  </si>
  <si>
    <t>Mejores PROGRAMAS para Hacer VÍDEOS EXPLICATIVOS. Cómo hacer VÍDEOS de Pizarra blanca con una mano dibujando y vídeos animados fácil y rápidamente con estos programas.
_xD83C__xDF81_  Vyond GRATIS durante 14 días: https://bit.ly/vyond-gratis 
▶️ Explaindio
▶️ Moovly
▶️ Sparkol VideoScribe
▶️ Doodly
▬▬▬▬▬▬▬▬▬▬ SÍGUEME ▬▬▬▬▬▬▬▬▬▬ 
_xD83D__xDD25_ Suscríbete: https://bit.ly/RoxanaFalascoYT
_xD83C__xDF93_ Mi Academia de Formación: https://academia.videocursosonline.com
_xD83D__xDC4D_ ¿Quieres que te ayude con tu proyecto? Consultoría privada: https://videocursosonline.com/consultoria
_xD83C__xDF05_ Instagram: https://instagram.com/roxanafalasco
_xD83D__xDCE3_ Facebook: https://facebook.com/videocursosonline
_xD83D__xDCBB_ Web: https://videocursosonline.com
Mi equipo:
+ Cámara: https://amzn.to/2V5QA8N
+ Micrófono de sobremesa: https://amzn.to/3aNmeOR
+ Micrófono de solapa: https://amzn.to/3b01HXL
+ Fondo fotográfico Croma Verde: https://amzn.to/34exlOk
+ Capturadora interna: https://amzn.to/39UbYmY
+ Capturadora para la cámara reflex: https://amzn.to/34niRfm
+ Tarjeta gráfica: https://amzn.to/3aQu2PQ</t>
  </si>
  <si>
    <t>Si estás Buscando la Forma de Crear Vídeos Educativos para Clase, no te pierdas este Listado de Mejores Programas para hacer Vídeos Explicativos. ¿Los conocías?
#videosexplicativos #mejoresprogramas #hacervideos
Hoy en día no es necesario ser ningún experto para poder crear un vídeo de forma sencilla gracias a Internet y las diferentes plataformas que existen. Hoy vamos a descubrir algunos programas para hacer vídeos didácticos y de forma gratuita que te pueden resultar de lo más útiles en la clase.
✅ Mas Información Sobre Cada uno de los Programas Aquí_xD83D__xDC49_ https://bit.ly/3i31e9Y
✅OTROS VIDEOS QUE TE PUEDEN INTERESAR:
COMO HACER UN VIDEO EXPLICATIVO EN POWER POINT_xD83D__xDCA5__xD83D__xDC49__xD83C__xDFFD_https://youtu.be/1wVN6UinL7g
_xD83D__xDD1D_ MEJORES EDITORES DE VIDEO 2020_xD83C__xDFAC__xD83D__xDC49_ https://youtu.be/B1n1DK3zfOg
✅ Lista de Mejores Programas para hacer Vídeos Explicativos
⏱️Marcas de Tiempo⏱️
-00:00 : Introducción.
-00:35 :  RawShorts
-01:19 :  PowToon
-01:53 :  Animatron
-02:37 :  Vyond
-03:10 :  VideoScribe
-04:10 :  Wideo
-04:33 :  Animaker
-05:01 :  Biteable
-05:39 :  Simpleshow
-06:33 :  Moovly
¿Te ha ❤️ gustado esto? Entoces Suscríbete + Activa la _xD83D__xDD14_ = No te pierdas el PROXIMO Video✌️!
✅ Sucribete Aqui:_xD83D__xDC49_ http://bit.ly/2kVMQZt
_xD83D__xDC49_Si te Gustó este Video, Te Recomiendo Ver Estos: 
✔MEJORES PORTATILES CON RTX 3080: https://youtu.be/t-BJQbWdSz0
✔MEJORES PORTÁTILES CON RTX 3070: https://youtu.be/v4Tjmy4kLsw
✔MEJORES PORTÁTILES CON RTX 3060: https://youtu.be/J74GtevO-kA
✔MEJORES LAPTOPS BARATAS PARA ESTUDIANTES : https://youtu.be/GMG_UH5YA5A
✔MEJORES PORTÁTILES CON INTEL CORE I5: https://youtu.be/4kGqPTVo5pE
✔MEJORES LAPTOPS CON GTX 1650: https://youtu.be/Cp6BUSKvZDI
 ✔MEJORES LAPTOP PARA INGENIERIA:https://youtu.be/CghxZ8gUdPE
✔MEJORES PORTATILES CON INTEL CORE I7: https://youtu.be/6kz8wbwTpSA
✔MEJORES PORTATILES PARA INGENIERIA INFORMATICA: https://youtu.be/Aag6st3pf8c
✔MEJORES PORTATILES PARA SOLIDWORKS: https://youtu.be/nYPK0mr_VlU
✔MEJORES PORTATILES PARA RENDERIZAR EN 3D: https://youtu.be/N-_tRnQpDds
✔MEJORES PORTATILES WORKSTATION PARA INGENIEROS: https://youtu.be/JEHCnGoG6Bw
✔MEJORES LAPTOP PARA JUGAR FREE FIRE/ WARZONE/ FORTNITE: https://youtu.be/P_TibtOcjQ0
✔MEJORES ULTRABOOKS CALIDAD PRECIO: https://youtu.be/wwB742s-iTw
✔MEJORES PORTATILES GAMING CALIDAD PRECIO: https://youtu.be/04k6UkYRRNU
✔MEJORES PORTATILES 4K PARA DISEÑO GRÁFICO Y EDICION: https://youtu.be/JvXXypx82jI
✔COMO ELEGIR UNA LAPTOP PARA AUTOCAD: https://youtu.be/upLCrJTKnkI
✔COMO COMPRAR UNA LAPTOP BUENA Y BARATA: https://youtu.be/66x7jFMQ8KQ
✔COMO ELEGIR UNA LAPTOP PARA DISEÑO GRAFICO: https://youtu.be/BkNX_QigK8Q
✔MEJORES PORTATILES PARA DISEÑO GRAFICO 3D Y ARQUITECTURA: https://youtu.be/Z9Naao66GTs
✔Mejores PORTÁTILES para ESTUDIANTES: https://youtu.be/Xu-QENbvUSQ
Suscribete!!.. y deja tu inquietud en el cajón de comentarios 
_xD83D__xDCEC_E-mail: Solo para motivos comerciales: rafagarcia819@gmail.com</t>
  </si>
  <si>
    <t>La tecnología digital ha añadido una cantidad creciente de recursos que se pueden usar en la enseñanza. Vídeos, audios, animaciones, juegos, webs y un largo etcétera de posibilidades están disponibles y conviene reflexionar sobre sus posibilidades y
sus riesgos.
• Conoce los principales recursos digitales.
• Ten elementos de juicio para decidir qué recursos digitales usar en una asignatura.</t>
  </si>
  <si>
    <t>Capítulo de la caricatura infantil mafalda, en el que se evidencia la educación Tradicional. ¿Qué educación deben exigir los infantes?</t>
  </si>
  <si>
    <t>Bob Marley and the Wailers performing Waiting in Vain with lyrics. From the album Exodus. © 1977 Tuff Gong/Island
Lyrics:
1, 2, 3
I don't wanna wait in vain for your love
I don't wanna wait in vain for your love
From the very first time I rest my eyes on you, girl
My heart says follow t'rough
But I know, now, that I'm way down on your line
But the waitin' feel is fine
So don't treat me like a puppet on a string
'Cause I know I have to do my thing
Don't talk to me as if you think I'm dumb
I wanna know when you're gonna come - soon
I don't wanna wait in vain for your love
I don't wanna wait in vain for your love
I don't wanna wait in vain for your love
'Cause if summer is here
I'm still waiting there
Winter is here
And I'm still waiting there
[Guitar solo]
Like I said
It's been three years since I'm knockin' on your door
And I still can knock some more
Ooh girl, ooh girl, is it feasible?
I wanna know now, for I to knock some more
Ya see, in life I know there's lots of grief
But your love is my relief
Tears in my eyes burn - tears in my eyes burn
While I'm waiting - while I'm waiting for my turn
See!
I don't wanna wait in vain for your love
I don't wanna wait in vain for your love
I don't wanna wait in vain for your love
I don't wanna wait in vain for your love
I don't wanna wait in vain for your love, oh!
I don't wanna - I don't wanna - I don't wanna - I don't wanna
I don't wanna wait in vain
I don't wanna - I don't wanna - I don't wanna - I don't wanna
I don't wanna wait in vain
No, I don't wanna (I don't wanna - I don't wanna - I don't wanna
I don't wanna - I don't wanna wait in vain)
No I - no I (I don't wanna - I don't wanna - I don't wanna - I don't
Wanna - I don't wanna wait in vain)
No, no-no, I, no, I (I don't wanna - I don't wanna - I don't wanna
I don't wanna - I don't wanna wait in vain)
It's your love that I'm waiting on (I don't wanna - I don't wanna
I don't wanna - I don't wanna - I don't wanna wait in vain)
It's me love that you're running from
It's your love that I'm waiting on (I don't wanna - I don't wanna
I don't wanna - I don't wanna - I don't wanna wait in vain)
It's me love that you're running from
--
Bob Marley Greatest Songs: https://www.youtube.com/playlist?list=PL2Asl2EiSOtwRi4sKb-dHRzVwJszRYtOo
Greatest Reggae Tracks &amp; Classics: https://www.youtube.com/playlist?list=PL2Asl2EiSOtyi6MzuGHNMcNn8LF8g-kp5
#BobMarley #WaitingInVain #WaitInVain</t>
  </si>
  <si>
    <t>MARÍA DIEZ
DIRECTORA DE LA DIRECCIÓN DE EDUCACIÓN BÁSICA ALTERNATIVA  DEL MINEDU</t>
  </si>
  <si>
    <t>En este video de Cómo usar Android aprenderás: ¿cómo compartir mi internet desde mi celular Android?, ¿cómo crear una zona Wifi en mi celular Android?, ¿cómo compartir internet desde un celular Android a un computador?
Aprende más sobre este tema en: https://edu.gcfglobal.org/es/como-usar-android/
Recuerda seguirnos en nuestras redes sociales donde compartimos mucho más contenido ¡GRATUITO! que sé que te ayudará 
Facebook: https://www.facebook.com/GCFAprendeLibre 
Instagram: https://www.instagram.com/gcfaprendelibre/ 
Pinterest: https://co.pinterest.com/gcfaprendelibre 
Twitter: https://twitter.com/GCFAprendeLibre</t>
  </si>
  <si>
    <t>¡Atención maestros! Minedu lanza curso de alfabetización digital INSCRIPCIONES AQUÍ http://comunicado.perueduca.pe/</t>
  </si>
  <si>
    <t>¡Bienvenidos! 
_xD83D__xDCCC_ Registro de participación 
https://bit.ly/2TWsUUl
_xD83D__xDCCC_ Realiza la encuesta
https://bit.ly/33SwVi5</t>
  </si>
  <si>
    <t>https://www.elcineenlasombra.com/cine-y-educacion-alfabetizacion-audiovisual/
 --------------------------------- 
En la actualidad, los niños aprenden antes a tomar una fotografía o a grabar un vídeo que a leer. Esto implica la necesidad urgente de una alfabetización audiovisual en las escuelas y las aulas de nuestro país. Ante semejante panorama, cabe plantearse numerosas cuestiones: ¿Por qué el cine cuenta con tan baja consideración dentro del sistema educativo? ¿Quién tiene la culpa de ello? Y lo que es todavía más importante: ¿Cómo enseñamos a los más jóvenes a utilizar consciente y respetuosamente el medio audiovisual, lenguaje que manejan diariamente en el entorno de las redes sociales?
 --------------------------------- 
CONTACTO: hartobrillante@gmail.com 
INSTAGRAM (personal): palcasopatatas
TWITTER (personal): @palcasopatatas</t>
  </si>
  <si>
    <t>Este espacio será un punto de encuentro con nuestros docentes para ofrecerles herramientas para el mejoramiento de las prácticas de aula. Nuestra Formadora Juli Berónica Ángel, comparte algunos consejos prácticos para llevar al aula de clase. ¡No te pierdas esta microlección!</t>
  </si>
  <si>
    <t>En este video responderemos a preguntas como:  ¿Cómo crear un libro nuevo en Excel 2016? y ¿Cómo abrir un nuevo libro en Excel 2016?
Aprende más sobre este tema en: https://edu.gcfglobal.org/es/excel-2016/
Recuerda seguir nuestras redes sociales donde compartimos mucho más contenido, ¡GRATUITO!, que te ayudará.
Facebook: https://www.facebook.com/GCFAprendeLibre 
Instagram: https://www.instagram.com/gcfaprendelibre/ 
Pinterest: https://co.pinterest.com/gcfaprendelibre 
Twitter: https://twitter.com/GCFAprendeLibre</t>
  </si>
  <si>
    <t>Cómo estudiar mejor. 5 trucos Críticos para aprender a estudiar.
Links del vídeo:
CURSO TÉCNICAS DE ESTUDIO: http://www.metaaprendizaje.net/mini-curso-gratis-tecnicas-de-estudio/
HÁBITOS DE ESTUDIO: https://www.youtube.com/watch?v=qW3cVVrwB_k
MÉTODOS Y TÉCNICAS DE CONCENTRACIÓN: https://www.youtube.com/watch?v=GY39jN2qi6k
CONTENIDO DEL VÍDEO:
En el vídeo trataremos los siguientes 5 puntos clave que pueden marcar la diferencia en la calidad de tu estudio y en cómo aprendes:
1. Asignaturas: Cómo se estudian de la mejor manera.
2. Técnicas de Estudio 
3. Hábitos de Estudio 
4. Técnicas de Concentración 
a. Elementos Distractores 
b. Elementos Potenciadores 
5. Mejorar la Autoestima</t>
  </si>
  <si>
    <t>¿Sabes que puedes crear salas de video para MUCHÍSIMOS participantes desde tu Messenger de Facebook a través del Whatsapp?
Es muy fácil.</t>
  </si>
  <si>
    <t>Ambientes de aprendizaje para el desarrollo de competencias matemáticas.</t>
  </si>
  <si>
    <t>#QuédateEnCasa y Aprende #Conmigo
Se presenta un ranking tipo TOP 100 de aplicaciones y herramientas digitales utilizadas para promover el aprendizaje en Instituciones de Educación Superior alrededor del mundo. 
Lista compilada por la maestra Jane Hart del Centre for Learning &amp; Performance Technologies (C4LPT) a partir de la 13va. encuesta anual de herramientas de aprendizaje publicada el 18 de septiembre de 2019.
Presenta: Mtro. Fernando Félix Solís Cortés
Universidad Autónoma de Baja California
Facultad de Pedagogía e Innovación Educativa.</t>
  </si>
  <si>
    <t>ACTUALIZACION DOCENTE</t>
  </si>
  <si>
    <t>Conoceremos cómo se fortalecen las competencias profesionales de los docentes usuarios de las tabletas a través de este Programa de Formación; además de afianzar su rol mediador en la educación a distancia.</t>
  </si>
  <si>
    <t>Curso Lenguaje y Cognición Preescolar 1</t>
  </si>
  <si>
    <t>Conoceremos acerca de las estrategias formativas del programa nacional de formación docente para usuarios de dispositivos electrónicos portátiles : Cursos virtuales, asesoría pedagógica y asistencia técnica virtual; así como su aplicación en escenarios con y sin conectividad.</t>
  </si>
  <si>
    <t>En esta clase del curso "Cómo crear un correo electrónico" aprenderás cómo leer un correo electrónico, cómo responder un correo, cómo reenviar un correo.
Aprende más sobre este tema en: https://edu.gcfglobal.org/es/crear-un-correo-electronico/
#Capacítateparaelempleo
Recuerda seguirnos en nuestras redes sociales donde compartimos mucho más contenido ¡GRATUITO! que estamos seguros te ayudará. 
Facebook: https://www.facebook.com/GCFAprendeLibre
Instagram: https://www.instagram.com/gcfaprendelibre/
Pinterest: https://co.pinterest.com/gcfaprendelibre
Twitter: https://twitter.com/GCFAprendeLibre</t>
  </si>
  <si>
    <t>Página Oficial de RENIEC - REFIRMA 1.5.4
https://dsp.reniec.gob.pe/refirma_suite/pdf/web/main.jsf
Amigos aqui les dejo los links de descarga:
-------------------------------------------------------------------------------------------------
JAVA JRE8 x64 BITS (Instalador Offline)
MEGA: http://raboninco.com/112dB
MEDIAFIRE: http://raboninco.com/10pmr
-------------------------------------------------------------------------------------------------
JAVA JRE8 x32 BITS (Instalador Offline)
MEGA: http://raboninco.com/1143I
MEDIAFIRE: http://raboninco.com/10pnk
-------------------------------------------------------------------------------------------------
RENIEC MIDDLEWARE v4.4.3 x64 BITS (Instalador Offline)
MEGA: http://raboninco.com/10tt2
MEDIAFIRE: http://raboninco.com/10poW
-------------------------------------------------------------------------------------------------
RENIEC MIDDLEWARE v4.4.3 x32 BITS (Instalador Offline)
MEGA: http://raboninco.com/10tsr
MEDIAFIRE: http://raboninco.com/10peU
-------------------------------------------------------------------------------------------------
.NET FRAMEWORK 3.5 x32 &amp; x64 BITS (Instalador Offline)
MEDIAFIRE: http://raboninco.com/10ppm
-------------------------------------------------------------------------------------------------
.NET FRAMEWORK 4.0 x32 &amp; x64 BITS (Instalador Offline)
MEGA: http://raboninco.com/10tt9
MEDIAFIRE: http://raboninco.com/10ppt
-------------------------------------------------------------------------------------------------
.NET FRAMEWORK 4.5.1 x32 &amp; x64 BITS (Instalador Offline)
MEGA: http://raboninco.com/112W6
MEDIAFIRE: http://raboninco.com/10pq7
-------------------------------------------------------------------------------------------------
REFIRMA 1.5.4  (Instalador Online)
MEGA: http://raboninco.com/10ttM
MEDIAFIRE: http://raboninco.com/10pqp
-------------------------------------------------------------------------------------------------
tags: RENIEC PERU FIRMA DIGITAL, Firmar con DNIe, Firmar con DNI Electrónico, Firmar Digitalmente Perú, Firmar con certificado Digital RENIEC, Firmar con REFIRMA, RENIEC - REFIRMA, DNIe REFIRMA</t>
  </si>
  <si>
    <t>Tarea de Video para la Educación, MTA CUCEA U de G</t>
  </si>
  <si>
    <t>*JUEGOS* (error título y vídeo)
SIENTO EL GRAN ERROR DE MI MAL USO DE LA PALABRA GAMIFICAR, YA QUE ESTA IMPLICA EL USO DE NUEVAS TECNOLOGÍAS. ME HE EQUIVOCADO Y TENÍA EL CONCEPTO CONFUNDIDO 
Juegos para salir de la rutina en clase.
http://www.eltarrodelosidiomas.com/
Post de gamificación:
-  http://www.eltarrodelosidiomas.com/2016/06/materiales-para-gamificar-tu-clase-i.html
Mejor página para profesores:
www.kumubox.com
https://WWW.ELTARRODELOSIDIOMAS.COM
Blog: http://www.eltarrodelosidiomas.com
FB: http://www.facebook.com/eltarrodelosi....
Twitter: @tarrodeidiomas
Instagram: @tarrodeidiomas</t>
  </si>
  <si>
    <t>En este video de Presentaciones básicas en PowerPoint, Google, Keynote aprenderás cómo crear una diapositiva sencilla en PowerPoint, cómo cambiar el tamaño de las diapositivas en PowerPoint, cómo crear una diapositiva sencilla en Google, cómo cambiar el tamaño de las diapositivas en Google, cómo crear una diapositiva sencilla en Keynote, cómo cambiar el tamaño de las diapositivas en Keynote 
Aprende más en https://edu.gcfglobal.org/es/subjects/tecnologia/
Recuerda seguirnos en nuestras redes sociales donde compartimos mucho más contenido ¡GRATUITO! que sé que te ayudará 
Facebook: https://www.facebook.com/GCFAprendeLibre 
Instagram: https://www.instagram.com/gcfaprendelibre/ 
Pinterest: https://co.pinterest.com/gcfaprendelibre 
Twitter: https://twitter.com/GCFAprendeLibre</t>
  </si>
  <si>
    <t>Aprende y practica estos 17 atajos del teclado en Excel para que incrementes tu productividad. Te sorprenderás por todo el tiempo que puedes ahorrar.
Facebook: https://www.facebook.com/excelproductivo/?ref=hl</t>
  </si>
  <si>
    <t>Preescolar, escuela y colegio IPICIM:
http://www.ipicim.ed.cr/</t>
  </si>
  <si>
    <t>En este segundo espacio de Docente al Día, les daremos a conocer el uso de diversas herramientas digitales y medios de comunicación, que les permitirán complementar el proceso de enseñanza en  la educación a distancia, con la finalidad de brindar diversas posibilidades a los estudiantes para fortalecer sus aprendizajes.</t>
  </si>
  <si>
    <t>_xD83D__xDD34_ Suscríbete Aquí _xD83D__xDC49_https://cutt.ly/XnaArT9
y dale a la _xD83D__xDD14_ para ser el primero en ver mis talleres de Música.
¡_xD835__xDC7A__xD835__xDC6F__xD835__xDC76__xD835__xDC7E_ _xD835__xDC68__xD835__xDC6A__xD835__xDC7C_́_xD835__xDC7A__xD835__xDC7B__xD835__xDC70__xD835__xDC6A__xD835__xDC76_ vía Zoom con
Pelo D'Ambrosio! _xD83C__xDDF5__xD83C__xDDEA_ _xD83D__xDE32_ 
Para más información sobre los _xD835__xDC02__xD835__xDC0E__xD835__xDC12__xD835__xDC13__xD835__xDC0E__xD835__xDC12_ contáctanos _xD83D__xDCF2_ 935144373 o por WhatsApp dando click aquí: 
_xD83D__xDC49_ https://cutt.ly/2b21xPq
#PELODAMBROSIO #PERÚDECOLORES #PROMPERU
Pelo D'ambrosio®</t>
  </si>
  <si>
    <t>Aunque en algunos países es complicado cumplir con la educación a distancia. Te presento algunas app para que los que si puedan hacerlo tengan éxito en sus clases virtuales.
Suscribete! porque proximamente estaré explicando los detalles de uso de cada una de estas herramientas digitales.
Puedes seguirme en Instagram: _xD83D__xDC47_
 https://www.instagram.com/vidade_maestra?r=nametag</t>
  </si>
  <si>
    <t>Hoy se celebra el Día Internacional de la Alfabetización. Este día fue proclamado por UNESCO para subrayar la importancia del derecho a la educación en el desarrollo de las naciones, y la necesidad de redoblar esfuerzos para erradicar el analfabetismo en el mundo.
La alfabetización de adultos, además de brindar el derecho a la educación a quienes no lo tuvieron durante la niñez, también es una herramienta que permite transformar la vida de estas personas.
Presentamos un video muy especial sobre la alfabetización con adultos.</t>
  </si>
  <si>
    <t>Registra tu participación en el siguiente link: https://forms.gle/bFRbGPCjF9BuTWo67
“Cierre de Brechadigital”: Descripción, Configuración y cuidados de la tableta.
Miércoles 29 de julio de 2020, 9:00 a.m.</t>
  </si>
  <si>
    <t>Cátedra de Integración Iberoamericana sobre brecha digital y educación, con la participación de Pablo Gentili, secretario de cooperación educativa del Ministerio de Educación de Argentina; Ernesto Samper, Presidente de la Corporación Escenarios y expresidente de Colombia; Leonel Fernández, presidente de Funglode y expresidente de la República Dominicana.
6 de abril del 2021.</t>
  </si>
  <si>
    <t>El término brecha digital describe el hecho de que el mundo está dividido entre personas que sí y personas que no tienen acceso a las Tecnologías de la Información y la Comunicación o bien a la tecnología de la información moderna, como el teléfono, la televisión o Internet, y a la capacidad de usar estas tecnológicas. En este programa hablaremos de este tema y además conoceremos las razones por las cuales el Civismo Digital, entre otros factores, ayuda a acortar esta distribución desigual en el acceso, uso e impacto de las TIC.
Síguenos en:
http://www.facebook.com/CanalOnceTV
http://www.twitter.com/CanalOnceTV
https://www.instagram.com/canaloncetv/
http://www.canalonce.mx</t>
  </si>
  <si>
    <t>Estrategia "Cierre de brecha digital": Orientaciones pedagógicas sobre el uso de las tabletas.
Viernes 24 de julio 9:00 a.m.
Registra tu participación en el siguiente link: https://forms.gle/6GrbTQzjyNbQHtT78
Realiza tus preguntas en el siguiente enlace: https://forms.gle/TMFZ6ZchVPUrbNDE7</t>
  </si>
  <si>
    <t>NUEVOS CURSOS VIRTUALES PERUEDUCA 2021. CURSOS PARA ABRIL EN ADELANTE.
_xD83D__xDCCC_Ingrese a Parueduca: http://www.perueduca.pe/inicio
_xD83D__xDCCC_INSCRÍBETE AQUÍ:
_xD83D__xDCDD_Preinscripciones para el Programa Nacional para la Mejora de los Aprendizajes: https://tuamawta.blogspot.com/2021/03/perueduca-se-amplia-preinscripciones.html
_xD83D__xDCDD_Curso virtual "Gestión de la convivencia escolar" (Quinta edición): https://tuamawta.blogspot.com/2021/03/perueduca-curso-virtual-gestion-de-la.html
_xD83D__xDCDD_Curso virtual “Convivencia Escolar para Auxiliares de Secundaria” de EBR: http://www.tuamawta.com/2021/03/30/perueduca-inscripcion-al-iii-bloque-del-curso-virtual-convivencia-escolar-para-auxiliares-de-secundaria-de-ebr/
_xD83D__xDCDD_Curso Virtual autoformativo “Desarrollo de habilidades físicas, de juego y deporte para estudiantes con discapacidad”: http://www.tuamawta.com/2021/03/30/perueduca-curso-virtual-autoformativo-desarrollo-de-habilidades-fisicas-de-juego-y-deporte-para-estudiantes-con-discapacidad/
_xD83D__xDCDD_Curso Virtual autoformativo “Desarrollo integral del adolescente”- 1er grupo 2021: http://www.tuamawta.com/2021/03/31/perueduca-inicia-preinscripcion-al-curso-virtual-autoformativo-desarrollo-integral-del-adolescente-1er-grupo-2021/
_xD83D__xDD34_Cómo actualizar tu correo electronico  en Perueduca: https://www.youtube.com/watch?v=TgOZ5MlZSB0
_xD83D__xDD34_Recuprrar ususrio y contraseña Perueduca: https://www.youtube.com/watch?v=WtLSV3SZNDc
_xD83D__xDD34_Puedes ver todos mis videos: https://www.youtube.com/watch?v=1pITXreuLcs&amp;list=PLBUNiIxBDCO9fT4nprWmIinsOCbIMFxLF
_xD83D__xDD34_Sígueme en el facebook: https://www.facebook.com/DannyBernalesS
_xD83D__xDD34_Sígueme en el facebook: https://www.facebook.com/RincondelprofeDanny
_xD83D__xDD34_Suscríbete a mi canal Tu Amawta: https://www.youtube.com/tuamawta
#DannyBernales #TuAmawta #Perueduca</t>
  </si>
  <si>
    <t>PONENCIA "La competencia en Comunicación Lingüística y su relación con las demás competencias". D. Fernando Bringas de la Peña, catedrático del IES Santa Clara de Santander. V Congreso Regional de Educación de Cantabria.</t>
  </si>
  <si>
    <t>Seminario impartido por Juan Vaello Orts.
Master de profesorado en educación secundaria. Universidad Miguel Hernández de Elche.</t>
  </si>
  <si>
    <t>Ingreso para el registro de asistencia: 
- Registro Zona Norte: http://bit.ly/3rekCVN
- Registro Zona Centro: http://bit.ly/319XBsC
- Registro Zona Sur: http://bit.ly/2PoU3QM
- Registro Zona Oriente: http://bit.ly/398kXTR</t>
  </si>
  <si>
    <t>Planificación en el Nivel de Educación Inicial. Edo. Nueva Esparta, Venezuela</t>
  </si>
  <si>
    <t>Las Competencias Básicas: qué, por qué y cómo. D. Daniel Cassany, profesor de la Universidad Pompeu Fabra de Barcelona.</t>
  </si>
  <si>
    <t>Conferencia inaugural: Competencia y currículo: transformar el currículo para reinventar la escuela. D. Ángel Pérez Gómez, Catedrático de Didáctica y Organización Escolar de la Universidad de Málaga. IV Congreso Regional de Educación de Cantabria. Competencias Básicas</t>
  </si>
  <si>
    <t>¿Cuál es la importancia de la Teoría y enfoque de la política social en la formación del magíster en política social? Esto fue lo que nos dijo Vilma Paura, docente internacional que nos visita desde Argentina. #JaverianaCaliEsMás</t>
  </si>
  <si>
    <t>¡Bienvenidos! 
Registra tu participación desde este enlace: https://bit.ly/30DoLIs
Realiza la encuesta desde este enlace: https://bit.ly/3d6treY</t>
  </si>
  <si>
    <t>Cátedra de Integración Iberoamericana - Sesión IV
Brecha digital y otros retos de la educación en América Latina y el Caribe durante la pandemia.
Con la participación de Pablo Gentili, Secretario de Cooperación Educativa y Acciones Prioritarias de Argentina; Ernesto Samper, Presidente de Corporación Escenarios y Expresidente de Colombia; Leonel Fernández, Presidente de Funglode y Expresidente de República Dominicana.</t>
  </si>
  <si>
    <t>Evento paralelo - Organizado por de la CEPAL en Brasilia, Biblioteca Hernán Santa Cruz de CEPAL, en colaboración con Federación Brasilera de Asociación de Bibliotecarios y UNIC DE Brasil y Trinidad y Tobago
Objetivo: Debatir y aprender sobre cómo las bibliotecas pueden apoyar en los esfuerzos para garantizar el acceso a información confiable, basada en evidencia científica, sobre COVID-19; además de compartir experiencias de bibliotecas de la región que, durante la pandemia, garantizaron el acceso a la información sobre desarrollo sostenible, contribuyendo a la reducción de la brecha digital.
Programa
Apertura
• Carlos Mussi - director CEPAL Brasilia
VERIFIED iniciativa de Naciones Unidas para combatir la información y los datos falsos - Como las bibliotecas de la región proveen referencias y acceso a documentación y datos correctos para el desarrollo sostenible en la pandemia del COVID-19.
• Juan Miguel Diez - UNIC director Port of Spain
• Javier Murillo Acuña - director Metrics Digital, México
• Adriana Ferrari – vice-presidenta FEBAB, Brasil
• Wouter Schallier - director Biblioteca Hernán Santa Cruz - CEPAL
Presentación de videos sobre las experiencias de las bibliotecas de la región para disminuir las brechas digitales en el acceso a información de calidad.
Moderadoras:
• Tamara Brathwaite – Biblioteca Hernán Santa Cruz – CEPAL
Conclusiones
• Carlos Mussi - director CEPAL Brasilia
PROGRAMA
https://www.cepal.org/sites/default/files/news/files/esp_-_programaeventoparaleloforo2021.pdf</t>
  </si>
  <si>
    <t>Conéctate al evento de lanzamiento de la Escuela de Educación 4.0, en el que expertos de Finlandia, Estados Unidos, México y Colombia, a través de realidad virtual mixta, conversarán sobre diseño e innovación pedagógica. Participa de este encuentro y vive una experiencia innovadora y pedagógica.</t>
  </si>
  <si>
    <t>Video de Peru Educa sobre cierre de brecha digitale.
Uso y manejo de las apps de la tablet de los estudiantes.</t>
  </si>
  <si>
    <t>La serie “Maestros de América Latina” narra la vida y obra de ocho pedagogos trascendentales para la historia de la educación latinoamericana. El repertorio está compuesto por Simón Rodríguez, Domingo F. Sarmiento, José Martí, José Vasconcelos, José Carlos Mariátegui, Gabriela Mistral, Jesualdo Sosa y Paulo Freire.
Sin idealizaciones simplificadoras, el programa intenta acercar a los docentes, pero también al público en general, las propuestas de estos pedagogos latinoamericanos de una manera amena y atractiva. 
El ciclo busca renovar el debate sobre las pedagogías latinoamericanas desde un abordaje profundamente humano, y sin renunciar a la complejidad y contradicciones propias de personalidades que, desde diferentes perspectivas, se comprometieron activamente con la causa de la Patria Grande.   
Producido por el Laboratorio de Medios Audiovisuales de la Universidad Pedagógica, para la Organización de Estados Iberoamericanos para la Cultura y la Educación (OEI), la UNIPE y Canal Encuentro.</t>
  </si>
  <si>
    <t>CONFERENCIA:  El directivo como gestor en la mejora de los ambientes de aprendizaje. 
PONENTE: PILAR POZNER
Lugar: La Paz, Baja California Sur, México.
Fecha: 30 junio 2016
Descarga la conferencia en PDF:
https://drive.google.com/open?id=0BwyBeAMDNutAYlo1bTdnU2RRNGs</t>
  </si>
  <si>
    <t>Ciclo de Desarrollo Profesional en Alfabetización Inicial
Literatura Infantil y Didáctica
Año 2010
Literatura Infantil y Alfabetización Inicial 
Teresa Colomer</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</si>
  <si>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
Para la educadora canadiense y experta mundial en empatía Mary Gordon, “muchos de los problemas que arrastra la sociedad, como la violencia y la pobreza, son consecuencia de la falta de empatía”. Y añade: “Si la empatía es la solución a las situaciones injustas, ¿por qué no hacemos nada?”. 
Mary Gordon es la fundadora y presidenta de ‘Roots of Empathy’ y ‘Seeds of Empathy’, dos revolucionarios programas educativos basados en el desarrollo de la empatía y en promover la alfabetización emocional desde la infancia. En 2009, la Federación Canadiense de Maestros le otorgó el ‘Premio de Defensa de la Educación Pública’. Ha sido colaboradora y asesora de numerosas instituciones educativas y organismos internacionales, como la Organización para la Cooperación y el Desarrollo Económicos (OCDE), la Organización Mundial de la Salud (OMS), el gobierno de Estados Unidos y la Fundación Nelson Mandela. También se ha reunido en dos ocasiones con el Dalai Lama, quien llegó a asegurar que programas como ‘Roots of empathy’, sirven para construir la paz mundial. En la actualidad, Mary Gordon forma parte de la junta directiva de la ‘Fundación Ashoka’, una organización internacional que apoya a emprendedores sociales de todo el mundo.
#AprendemosJuntos</t>
  </si>
  <si>
    <t>El 2 de febrero de 2021, la Fundación Ramón Areces organizó el coloquio on line ‘Educación y brecha digital tras la pandemia’. En él participaron Jorge Calero, catedrático de economía aplicada en la Universidad de Barcelona; Almudena Sevilla, catedrática de economía y políticas públicas en la University College London; y Daniel Santín, catedrático de economía aplicada en la Universidad Complutense.
En este coloquio conocimos algunas medidas que puedan cerrar la brecha y generalizar el acceso a las herramientas educativas digitales y su capacidad de uso por parte de alumnos, profesores y familias. La educación va a ser cada vez más digital y por ello resulta clave implementar un nuevo proceso de enseñanza-aprendizaje en igualdad de oportunidades educativas.</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</si>
  <si>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“Si institucionalizamos que los padres ayuden con los deberes a sus hijos estaríamos creando dos tipos de alumnos con diferentes posibilidades de evolucionar. Ya no solo porque tus padres te puedan ayudar, o no, a hacer los deberes, sino porque no todas las familias, por desgracia, debido a la brecha digital y social, tienen la posibilidad de que sus hijos tengan un ordenador o un espacio físico para estudiar”. 
En este vídeo, el profesor David Calle, creador de la plataforma educativa unicoos.com, aporta herramientas y consejos para favorecer la adaptación digital de profesores, familias y alumnos. Y plantea que el siguiente reto de la educación a distancia será no dejar atrás a ningún estudiante en función de sus recursos. 
David Calle es autor de los libros ‘No te rindas nunca’ y ‘¿Cuánto pesan las nubes?’ sobre curiosidades científicas. Se formó y ejerció como ingeniero de telecomunicaciones, aunque en las últimas dos décadas ha reorientado su trabajo a la docencia como profesor presencial y virtual, a través del canal Unicoos.com, una plataforma educativa a través de videotutoriales. Fue finalista en los premios Global Teacher Prize 2017 y la revista Forbes le ha destacado como una de las 100 personas más creativas del mundo. 
#AprendemosJuntosEnCasa</t>
  </si>
  <si>
    <t>Franco nos enseña algunos conceptos básicos.
#IntegrarteTV
puntodigital@viedma.gov.ar
face: PuntoDigitalViedma
Secretaría de Desarrollo e Integración Social
#GobiernoDeViedma
@pedropesatti</t>
  </si>
  <si>
    <t>_xD83D__xDEA8_ TENEMOS NUEVO CANAL!! Con vídeos actualizados y MEJORADOS para la elaboración de CURRICULUMS EXITOSOS _xD83D__xDEA8_ link:
https://www.youtube.com/channel/UC1hhPsyrfYw_cLyoxd9NGeA?sub_confirmation=1
Aquí el video con el LINK de la plantilla: 
https://youtu.be/aNktgdN-qNg
Es hora de mejorar tu curriculum, ya que es la primera impresión que tienen los reclutadores de ti. Hazlo llamativo y diferente de los demás, sin descuidar el aspecto profesional. Basado en mi experiencia como asesor de recursos humanos te muestro la forma más practica y eficaz para redactar un curriculum vitae.
Dale Me Gusta y Comparte, suscribete a LandokTV si te a gustado o servido nuestro vídeo.
IGNOREN TAGS:
Como hacer y elaborar un curriculum vitae 2015 Facil, Rapido y Sencillo.
Convierte Tu Viejo Curriculum Vitae En Un Iman Para Los Reclutadores
Como hacer un curriculum vitae en Microsoft Word
Cómo hacer un buen Curriculum Vitae en 4 minutos (CV)</t>
  </si>
  <si>
    <t>Dinámica: Listones
Temática: Trabajo en equipo
Duración aproximada: 25 minutos
Número de participantes sugerido: Mínimo 10 Máximo 60
Material: 4 listones amarrados  (2 metros aprox.)
Para más talleres o dinámicas contáctanos en hola@re2055.com o www.facebook.com/GRUPORE</t>
  </si>
  <si>
    <t>Autor: Jefatura de Desarrollo de Contenidos, Investigación e Innovación de la Fundación Infocentro.
Edición: Madeline Rivas.
Guión: Mayeling Herrera.
Camárografo: Gustavo Zuñiga.
Moderador: Leonardo Pascual.</t>
  </si>
  <si>
    <t>http://tecnocoquito.com/
Tecnocoquito, todo lo que usted quiso saber sobre tecnología y nunca se atrevió a preguntar, es un proyecto de UNE Televisión, pensado y realizado por Punto Link. Presentado por Gustavo Miranda desde el Parque Explora de Medellin. 
Con analogías visuales, tips, herramientas, definiciones, conceptos y hasta con señas, le contaremos a las tías, tíos y hasta los suegros, cómo es el mundo de la tecnología hoy, cómo usarlo para quedar antojado, perder el miedo y quedar convencido de que es más fácil de lo que los muchachos dicen.
En este primer capítulo, Qué es la tecnología, hablaremos un poco de historia y del concepto de la ciencia y la tecnología, como herramientas del hombre para vivir en el mundo.</t>
  </si>
  <si>
    <t>✅ Con todos los protocolos sanitarios vigentes, hoy viernes 30 de julio, a partir de las 21hs, en la Sala Mayor del Centro Municipal de Cultura se presentará el Ensamble de Cuerdas del Atlántico Sur.
✅En esta oportunidad, el Ensamble presentará su espectáculo “Piazzolla Influencia Necesaria” con un repertorio tanguistico para homenajear el centésimo aniversario de Astor Piazzolla y su influencia en otros compositores.</t>
  </si>
  <si>
    <t>Comienzo del Curso "Alfabetizacion de adultos, por Liliana Virkel". Es la clase correspondiente a la Introduccion del curso. Continuacion: Alfabetizacion de adultos, por Liliana Virkel-Clase 2 ( http://www.youtube.com/watch?v=h8cUcMTCVWk ).
Visite: http://alfabetizacionadultos.blogspot.com/ . Alli encontrara elementos para comprender mejor la metodologia del curso, y la posibilidad de imprimir los materiales que permiten a los alumnos seguir las actividades que se proponen.</t>
  </si>
  <si>
    <t>Leer más rápido es una habilidad que todos podemos lograr. Claro, no avanzamos mucho si sólo mejoramos la velocidad sin entender lo que estamos leyendo. Por eso, el experto en aprendizaje, Javier Badilla (www.javierbadilla.com) desarrolla en www.lizethcastro.tv un curso rápido --extendido en 4 lecciones- de cómo mejorar la capacidad de lectura y memoria. Le recomendamos poner atención a sus instrucciones, aplicarlas e incluso nos gustará mucho que nos cuente si le ha servido este método.
El capítulo de hoy nos habla de realizar tres pasos:
1. OLVIDE LA FORMA TRADICIONAL DE LEER
2. UTILICE EL "SALTO DE OJO"
3. AMPLÍE SU CAMPO VISUAL
¡Suerte! Que disfrute esta lección.</t>
  </si>
  <si>
    <t>En este vídeo te explico cómo estudiar para un examen, hacerlo bien y sacar en este una buena nota.
También hablo de cómo memorizar, dónde estudiar, cómo deben ser los descansos para memorizar mejor, cómo tomar apuntes, y qué hacer si tienes un examen cerca y te queda poco tiempo para estudiarlo.
*** EL LIBRO ***
Descubre Tu Camino: Cómo Encontrar Tu Vocación en la Vida (Antes de que Sea Demasiado Tarde).
Sigue este enlace para más información sobre el libro, y cómo leerlo si no tienes un Kindle:
http://davidcantone.com/tu-camino
O bien, búscalo en tu tienda Amazon. Aquí te dejo los enlaces:
Amazon.es: http://www.amazon.es/dp/B00SGJCVHC/ 
Amazon.com: http://www.amazon.com/dp/B00SGJCVHC/
Amazon.com.mx: http://www.amazon.com.mx/dp/B00SGJCVHC/
Si tu país no tiene tienda Amazon, intenta adquirirlo en Amazon.com.
*** NUEVOS VÍDEOS RELACIONADOS ***
Cómo Estudiar Rápido y Bien Para Un Examen Tipo TEST
https://youtu.be/eceXfhfAHoA
Cómo Tomar Apuntes Para Estudiar y Aprender Mejor
https://youtu.be/ltkPKZ6fCBg
*** MENCIONES ***
5 Posturas para Mejorar Tu Rendimiento que Funcionan
http://davidcantone.com/mejorar-rendimiento/
En este artículo explico esta idea basada en estudios (Gesturing Makes Learning Last por Susan Wagner Cook et al.) de que gesticular con las manos mejora nuestra capacidad de pensar, así como nuestra comprensión y retención durante el aprendizaje.
Cómo Mejorar la Memoria en 10 Minutos (y sin esfuerzo)
http://davidcantone.com/mejorar-la-memoria/
Vídeo en el que explico el uso de pequeños descansos que han demostrado que mejoran la memoria.
*** CONECTA CONMIGO ***
Blog: http://davidcantone.com/
Instagram: https://www.instagram.com/davidcantonetv/
Twitter: https://twitter.com/DavidCantone
Facebook: https://www.facebook.com/ilcantone
Hasta pronto!</t>
  </si>
  <si>
    <t>Video Tutorial para la descarga de aplicación IPROSS mediante el uso de un teléfono celular
#Integrarte TV
Secretaría de Desarrollo e Integración Social
#GobiernoDeViedma
@PedroPesatti</t>
  </si>
  <si>
    <t>Uso de las TICs en la sociedad actual y su potencial como herramienta de enseñanza.  
Presentación basada en el video "Pay Attention"  (http://t4.jordandistrict.org/payattention) con datos de la región centroamericana y República Dominicana.</t>
  </si>
  <si>
    <t>Video educativo con reglas, ejemplos y tips sobre redacción, puntuación y ortografía.
La presentación se puede observar independientemente en https://www.emaze.com/@ALQCCFFR/redaccin-puntuacin-y-ortografa (para revisar con detenimiento cada una de las reglas y ejemplos).</t>
  </si>
  <si>
    <t>Raúl Santiago, de la Universidad de la Rioja, nos muestra una forma de concebir la actividad en clase que se está extendiendo cada vez más entre nuestros docentes: The Flipped Classroom (La Clase inversa).
¿Quieres participar en webinars como este o en grupos de trabajo sobre las últimas tendencias educativas? Únete a la comunidad en http://eduland.es.</t>
  </si>
  <si>
    <t>¿Quieres continuar con tu educación pero no sabes cómo hacerlo desde cualquier lugar y a cualquier hora? Nosotros tenemos la solución, ¡Conócenos!</t>
  </si>
  <si>
    <t>Los significados del nombre propio en la educación preescolar (1/3)</t>
  </si>
  <si>
    <t>Este vídeo es parte del curso "Facebook en el aula" de la Fundación Conectando Pasos A.C. y puedes inscribirte o llevarlo a tu institución educativa, dejándonos un comentario y nosotros te contactaremos.
Existen muchas aplicaciones gratuitas que pueden añadir a su página educativa de facebook y enriquecer la experiencia y facilitar el aprendizaje.</t>
  </si>
  <si>
    <t>Emilia Ferreiro, Barra de Verano 2011</t>
  </si>
  <si>
    <t>Video Tutorial para la creación de un correo electrónico mediante el uso de una computadora.
#Integrarte TV
Secretaría de Desarrollo e Integración Social
#GobiernoDeViedma
@PedroPesatti</t>
  </si>
  <si>
    <t>Vecinos del Barrio Zatti de Viedma realizaron la elaboración de 600 panes por el día de San Cayetano que se repartieron a vecinos y vecinas.
El presidente del barrio Irineo Calvo comenta sobre las actividades del barrio
#Integrarte TV
Secretaría de Desarrollo e Integración Social
#GobiernoDeViedma
@PedroPesatti</t>
  </si>
  <si>
    <t>Breve explicación de los componentes internos y externos del hardware de una computadora</t>
  </si>
  <si>
    <t>Las computadoras son un elemento esencial en nuestra vida cotidiana. El desarrollo actual busca diseñar dispositivos cada vez más pequeños y veloces, y que faciliten una utilización más eficiente de la energía. Además, los técnicos se encuentran abocados a producir unidades de memoria que impliquen un paso más hacia la inteligencia artificial.
¡Suscríbete a "ActualidadRT"! http://www.youtube.com/subscription_center?add_user=ActualidadRT
Siganos en http://twitter.com/ActualidadRT 
http://www.facebook.com/ActualidadRT y https://plus.google.com/b/117205813728682314068/117205813728682314068/posts
RT en vivo: http://actualidad.rt.com/mas/envivo/
RT EN ESPAÑOL: DESDE RUSIA CON INFORMACIÓN</t>
  </si>
  <si>
    <t>¿Contribuye la tecnología a alcanzar una sociedad global mejor y más justa?
En un mundo cada vez más globalizado e interdependiente, necesitamos una tecnología que incida más directamente en la lucha contra la pobreza, la justicia social y el respeto al medio ambiente.
¿No sería el mayor avance tecnológico poder garantizar una vida digna a todo el mundo sin destruir el planeta?
ONGAWA emplaza en este vídeo a cuestionarnos el uso de la tecnología y la innovación que hacemos en la actualidad
Este video ha sido realizado con la financiación de la Agencia Extremeña de Cooperación Internacional para el Desarrollo
www.ongawa.org
La presentadora del vídeo es Elena Arévalo, miembro de ONGAWA</t>
  </si>
  <si>
    <t>_xD83D__xDD7A_Pocho León y Roli Pérez se presentan en el Centro Cultural!
Con toda la música y el folklore, los músicos locales se presentan en la Sala Mayor_xD83C__xDFA4_
➡Los conciertos se realizan con distanciamiento social,siendo obligatorio el uso de barbijos y todas las medidas sanitarias correspondientes. _xD83D__xDE37_</t>
  </si>
  <si>
    <t>¿Qué es la pedagogía? Descubre en el video una definición sencilla y práctica. Además, podrás aprender sobre lo que no es la pedagogía. Hay muchas ideas falsas al respecto. ¡Aprende con Didactikós!
Didactikós en internet:
Página web: http://javierjaimes.wix.com/didactikos
Facebook: https://www.facebook.com/didactikos
Google+: google.com/+Didactikós_pedagogia</t>
  </si>
  <si>
    <t>Para más información sobre temas de educación, vista https://compartirpalabramaestra.org/. 
En este corto pero entretenido video te contamos qué es un currículo educativo, cómo se conforma y de qué manera se implementa en el aula para asegurar un óptimo aprendizaje de los estudiantes.</t>
  </si>
  <si>
    <t>Clara Goldsmit / Constanza Miscione
El uso de la Pizarra Digital Interactiva (PDI) en el aula supone una fuente adicional de recursos que promueven un alto nivel de motivación generando clases más activas y dinámicas. Estimula habilidades que tienen que ver con el lenguaje multimedial al que están habituados los alumnos y posibilita un abordaje dinámico de los contenidos curriculares.
A través del taller se conocerán el funcionamiento de la pizarra digital, sus ventajas y diferentes modelos didácticos a utilizar realizando actividades interactivas.</t>
  </si>
  <si>
    <t>Autor: Profesor Luis Hernández Yáñez (Facultad de Informática UCM)
Destinatarios: estudiantes que ingresan en la Facultad de Filología; cualquier persona interesada en una introducción de calidad sobre las TIC
Conocimientos previos: ninguno</t>
  </si>
  <si>
    <t>Siguiendo los protocolos vigentes a la fecha y en el marco del Ciclo de conciertos “En Escena” que desarrolla el gobierno de Viedma, este sábado 11 de septiembre, a partir de las 18, se presenta la banda de rock Sicometal.</t>
  </si>
  <si>
    <t>Sexta parte de la conferencia "Aspectos prácticos de la Metodología Doman" presentada por la Mtra. Elisa Guerra en el Congreso Mundial de Estrategias y Metodologías Educativas.  e-Book Aprender a Leer a los 3:  http://www.amazon.com.mx/Aprender-leer-los-Preescolar-ebook/dp/B00B1R14OC  Aprende cómo aplicar un programa de lectura temprana en preescolar. Método Doman aplicado a la escuela. Obtén un cupón del 20% de descuento para el curso aquí: https://www.udemy.com/aprender-a-leer-a-los-3/?couponCode=AL3YT</t>
  </si>
  <si>
    <t>El video presenta propuestas de estrategias para desarrollar la motivación al comenzar la sesión de aprendizaje.Asimismo, se dan ciertas definiciones sobre motivación y una
corta entrevista acerca del tema, a una estudiante de secundaria.</t>
  </si>
  <si>
    <t>_xD83D__xDC47_ Disclaimer _xD83D__xDC47_
We Don't Support Any Toxic Material Our Intention Is Not To Hurt The Sentiment Of Any Cast Religion Or Individual. The Video Contains Some Occasionally Used Abusive Word Which May Or May Not Be Suitable For Some Age Group Of People.
Follow instagram - https://www.instagram.com/mornaentertainment/
this video only for entertainment people dont take personal thank you and video ko share jrur karo dosto ✔✔✔✔</t>
  </si>
  <si>
    <t>Nasreen Makeup Tutorial | Rahim Pardesi | Desi Tv Entertainment
Haven't had a fun moment today? Seem out of touch of what is happening in the entertainment world? Love to gossip? Want to be the first one to tell your friends about something before it becomes 'happening'? 
Well, this is the right channel for you! We give you entertainment news that breaks the internet DAILY only on DESI TV!
Don't forget to subscribe: http://bit.ly/SubscribeToDesiTv You can now get a lovey discount for exclusive merchandize by putting in the promo code: VALENTINE valid till 14th February 2019, visit the store now at http://bit.ly/NasreenStrore</t>
  </si>
  <si>
    <t>fgfdg</t>
  </si>
  <si>
    <t>Pregnant time is one of the most difficult and unexpected in every women's life! Good, if the partner is around. Like Ava and Cado!
Though this two always have shocking adventures together!
Pregnancy, to be continued, let's see!
1:17 NIGHT SURPRISE
3:31 WEIRD FOOD
6:31 GOOD DREAMS AND THE PAN
9:25 CUTE CHILD
13:37 PROBLEMS WITH THE CAT
16:03 UNICORN CADO
Pregnant 
_xD83D__xDC96__xD83D__xDC96_PLAYLIST_xD83D__xDC96__xD83D__xDC96_     SEASON 1  
https://bit.ly/2O6LqZC
All product and company names shown in the video are trademarks™ or registered® trademarks of their respective holders. The use of them does not imply any affiliation with or endorsement by them.
Music by Epidemic Sound: https://www.epidemicsound.com/</t>
  </si>
  <si>
    <t>Chota Imran khan Ko soudi se Geft me kia Mela Entertainment Fun Buner 2019
Hello Friend I m Chota Imran Khan From Buner Khyber Pakhtoon Khwa. My Full address Is Below...
Name        : Chota Imran Khan
S/O            : Khyal Muhammad
Village       : Nawagai
Distt           : Buner
Tehsil         : Mandanr
P/O             : Nawagai 
Potal code : 19300
Contact      : 0346-9300943
FAC BOOK  : https://web.facebook.com/jan.pti.5
PAGE  : https://web.facebook.com/Entertainment-Fun-1734523153307725/
BLOG  : http://entertainmengh654775.blogspot.com/</t>
  </si>
  <si>
    <t>Welcome To Rbl TV Entertainment,
Our Productions are
Music
Sport News
background of Famous Peoples
Love Stories
Films
Shorts Drama
Advices
.....................................................
If have any questions or commnts, feel free to write!
................
Do like our  facebook page for more tips and interesting facts about Germany Laungauge and Sport News
.................
Subscribe My Youtube Channel,
https://www.youtube.com/channel/UCniL73VSz0Wkqsrq1px6OxA
..................
Also Visit us here Page Facebook:
https://www.facebook.com/pg/RBL-TV-Entertainment-1464888986897955/events/
...................
Personal Facebook
https://www.facebook.com/robel.tewelde.391
...............
Instagram: https://www.instagram.com/rbl_tv_entertainment/</t>
  </si>
  <si>
    <t>Children are our light! Light and a bit of troubles.
At first, pregnancy. I guess, people think, it’s the time of joy. Well, now Cado knows, what it’s for real. Though there are some pleasures for women especially if she has well-behaved husband
00:05 First Week
02:46 Second Week
05:07 Third Week
06:20 Fourth Week
07:46 Fifth Week
08:55 Bonus
09:33 An Important Reason
Pregnant 
_xD83D__xDC96__xD83D__xDC96_PLAYLIST_xD83D__xDC96__xD83D__xDC96_     SEASON 1  
https://bit.ly/2O6LqZC
All product and company names shown in the video are trademarks™ or registered® trademarks of their respective holders. The use of them does not imply any affiliation with or endorsement by them.
Music by Epidemic Sound: https://www.epidemicsound.com/</t>
  </si>
  <si>
    <t>0:00 - FACE ODDITY
Pencilmate gets PLASTIC SURGERY to look like a HERO! What happens when he can't pay for it?!
Pencilmation Merchandise:  https://teespring.com/stores/pencilmation
Unlike Pencilmate's EXPENSIVE surgery, here are some FREE Pencilmation goodness coming right up:
2:28 - NUTTY BY NATURE
Pencilmate finds a tough nut to crack!
4:20 - UFO…UH-OH!
Pencilmate gets abducted AGAIN!
6:29 - OUT OF SIGHT
Pencilmate bumps into the Invisible Man. 
8:38 - STARK RAVING DAD
Pencilmate takes Pencilmiss out to prom but he can't seem to enjoy himself... is it all thanks to her dad?!
11:57 - ALL EARS
Pencilmate sees and hears the big picture.
13:38 - O PENCIL WHERE ART THOU?
Where oh where is the Pencil? Pencilmate can't find him anywhere!
15:40 - NO FUN IN THE SUN
Pencilmate doesn’t think summer is very much fun. Can he beat the heat with his new powerful AC?
18:08 - STUPOR HERO
The big bad wolf gets tamed and it’s not by Pencilmate.
20:14 - A-DOOR-ABLE
Little Blue Man wants to meet Little Red Girl but it is a much harder task than he previously thought!
21:40 - THE WHEEL MCCOY
Two Pencilmates get a double ration of tricks from the Pencil.
ABOUT PENCILMATION :
Pencilmation is a cartoon channel for not-too-serious grown-ups. It is made with love and a lot of fun by an international team helmed by Ross Bollinger who started the channel alone in his room a long time ago. Follow the new, wacky, and often times quite silly adventures of Pencilmate, Little Blue Man, Pencilmiss and other toons every Tuesday, Thursday and Saturday.
CREDITS FOR FACE ODDITY
Producer - Ross Bollinger
Writer - Jared Woods
Story Supervisor - Sam Johnson
Storyboards - Neil Kohney
Director - Sam Johnson
Animation - Mingmei Huang
Music - Jay Purdy
Voiced - Joe Porter and Daphne Garrington
Sound Design - Strelok Audio Design
Composition - Ralph Ravina and Carla Ravina
Color Design - Antonio Villamandos
Associate Producer - Ama Bollinger
Production Coordinator - Greg Pearce
System Developer - Cameron Jones
#pencilmation, #cartoon, #pencilmate, #pencilmiss</t>
  </si>
  <si>
    <t>ITZY "달라달라(DALLA DALLA)" M/V
Find ITZY "IT'z Different" on 
iTunes &amp; Apple Music https://goo.gl/hBD3xS
[ITZY Official] 
https://www.youtube.com/c/ITZY
https://www.instagram.com/itzy.all.in.us
http://www.twitter.com/ITZYOfficial
http://www.facebook.com/OfficialITZY
https://www.vlive.tv/channel/BAE889
http://ITZY.jype.com
http://fans.jype.com/ITZY
https://www.tiktok.com/@itzyofficial?
https://www.weibo.com/u/7462077750?is_all=1
#JYP #ITZY #있지
Copyrights 2019 ⓒ JYP Entertainment. All Rights Reserved</t>
  </si>
  <si>
    <t>This video shows you the exact scenario of a sir distributing the answer papers for the notorious students in a classroom. Hope you can relate to it.
Kindly watch the video like,share and comment.
In associate with Divo
#exampaperdistribution#schoollife#DivoCreators
follow us on,
facebook: https://www.facebook.com/Veyilon/ 
instagram:https://www.instagram.com/veyilon/
twitter: https://twitter.com/veyilon</t>
  </si>
  <si>
    <t>To Experience the funny and weird moment that happens in a medical shop please watch this video and if you have come across these situations please comment it below the video.
Like, Share, Comment and Subscribe Veyilon.
We have also done a video regarding customers in food delivery, please see that too. Link below.
Types of food delivery, Link: https://www.youtube.com/watch?v=SsKdr237Jg8
In Association with DIVO - Digital Partner
http://www.facebook.com/divomovies
https://twitter.com/divomovies
follow us on,
facebook: https://www.facebook.com/Veyilon/ 
instagram:https://www.instagram.com/veyilon/
twitter: https://twitter.com/veyilon
#MedicalShop #TypesOfCustomers #DivoCreators</t>
  </si>
  <si>
    <t>This is a brief history of logos that opened every Disney video and DVD.
1. Walt Disney Home Entertainment: This was an intro used to open Disney videos from 1978 to 1985. It was mostly used for featurettes like the Winnie the Pooh shorts.
2. The Classics: This intro was used as an opening for the Disney Animated Classics that were released on video from 1984 to 1987. Movies included in this series were Dumbo, Alice in Wonderland, Pinocchio, Lady and the Tramp, Sleeping Beauty, Robin Hood and The Sword and the Stone.
3. Walt Disney Home Video: This intro was used to open various Disney videos. It started in 1986 and continued until who knows when.
4. Walt Disney Classics: This intro was used for a new series of videos that ran from 1988 to 1994. All Disney Animated Classics from the first series were rereleased in this series (except Sleeping Beauty). Also in this series was Cinderella, Bambi, The Little Mermaid, Peter Pan, The Jungle Book, The Rescuers Down Under, 101 Dalmatians, The Rescuers, Beauty and the Beast, The Great Mouse Detective, Aladdin and The Fox and the Hound.
5. Walt Disney Masterpiece Collection: This was another video series where all previous classics were rereleased (including Sleeping Beauty). Also in this series were Snow White, The Aristocats, Fun and Fancy Free, Melody Time, Ichabod and Mr. Toad, and all current Animated Classics from The Lion King to Tarzan. This was used from 1994 to 1999.
6. Walt Disney Home Video: This was just a brief intro used for Disney videos in the late 90's.
7. Walt Disney Home Entertainment: This was the current logo for Walt Disney Home Entertainment. It was used from 2001 on.
8. Disney DVD: This was the original Disney DVD intro used from 2003 to 2005.
9. Disney DVD: This is what the Disney DVD intro became in 2005, and it's the current one being used as of today.
(c) Disney - All Rights Reserved</t>
  </si>
  <si>
    <t>The pencil gives the Pencilmate a hand...that is, after he takes both of them away.
Previous Episode ► https://youtu.be/q4qsg6QJZVM 
Watch more Pencilmation ► https://www.youtube.com/pencilmation 
---Credits---
00:00 - "Hand Off" (Pencilmation #79)
Animated by Ross Bollinger
Music by  Pontus Tidemand
Sound Design by Ryan Boone
Voices by Ross Bollinger
Compositing by Francis Florencio
Production Assistance by Cameron Jones 
01:43 - "Cop Out" (Pencilmation #37)
Directed by Ross Bollinger
Animated by Kirun Kunju
Music by Jingle Django
03:22 - "Hamburgirl" (Pencilmation #53)
Directed by Ross Bollinger
Animated by Anderson Lister
Music by Adam J. Eros
Compositing by Francis Florencio
06:03 - “Splitting Hares!” (Pencilmation #75)
Directed by Ross Bollinger
Animated by  Sam Johnson
Music by Brendan Cooney 
Sound Design by Ryan 
Compositing by Francis Florencio
Production Assistance by Cameron Jones
08:23 - "Bettermorphosis" (Pencilmation #20)
Animation &amp; Music by Ross Bollinger
10:43 - "Munch Ado About Nothing" (Pencilmation #67)
Directed by Ross Bollinger 
Animated by Daniel Munoz
Music By Pontus Tidemand
Sound Design by Ryan Boone
Voices by Ross &amp; Ama
Compositing by Francis Florencio
Production Assistance by Cameron Jones
13:24 - “Worm and Fuzzy” (Pencilmation #72)
Directed by Ross Bollinger
Animated by Makoto Matsumura
Music by Brendan Cooney 
Sound Design by Ryan Boone 
Compositing by Francis Florencio
Production Assistance by Cameron Jones
15:21 - "Mario  Gets Fat" (Pencilmation #62)
Directed by Ross Bollinger
Animated by Antonio Villamandos
Music by Pontus Tidemand
Compositing by Francis Florencio
Production Assistance by Cameron Jones
18:05 - "Newlywebs" (Pencilmation #58)
Directed by Ross Bollinger
Animated by Yuri Custodio
Music by Adam J. Eros
Voices by Ross &amp; Ama
Compositing by Francis Florencio
20:03 - "Catson Pawlick" (Pencilmation #35)
Animated by Ross Bollinger
Music "Hungarian Dance No. 5" composed by Johannes Brahms
Performed by Yehudi Menuhin
21:30 - "The Workout" (Pencilmation #42)
Animated by Ross Bollinger
Music by Adam J. Eros
23:04 - "His and Hercules" (Pencilmation #46)
Directed by Ross Bollinger
Animated by Virus Mecanico 
(Rodrigo Martínez, Adrián Villarespe, Diego Acevedo, Sarah Páramo)
Music by Adam J. Eros
Voices by Ross &amp; Ama Bollinger
24:29 - "The Dastardly Doodle" (Pencilmation #65)
Directed by Ross Bollinger 
Animated by Joshua Palmer
Music By Pontus Tidemand
Sound Design by Ryan Boone
Voices by Zach Holzman &amp; Louise Samuels
Compositing by Francis Florencio
Production Assistance by Cameron Jones
27:13 - "Applecalypse Now" (Pencilmation #31)
Animated by Ross Bollinger
Animation Assistance by Francis Florencio
Music "Oh, Lady Be Good" Arrangement by David Naiditch
Voices by Apatheria, Alkaizer, and ATheatricalSongbird
29:24 - "Flower Power" (Pencilmation #27)
Animated by Ross Bollinger
Animation Assistance by Francis Florencio &amp; Ben Snyder
Music "Tchavolo Swing" by David Naiditch
31:45 - "The Love Bug" (Pencilmation #51)
Directed by Ross Bollinger
Animated by Antonio Villamandos 
Music by Adam J. Eros 
Voices by Ross &amp; Ama Bollinger
Assistant Direction by Francis Florencio
Compositing by Francis Florencio
33:52 - "Melt Down" (Pencilmation #48)
Directed by Ross Bollinger
Music by Adam J. Eros
Animated by Francis Florencio
Clean up by Rafael Almanzar
35:58 - "The Wheel McCoy" (Pencilmation #23)
Animation &amp; Music by Ross Bollinger
38:22 - "Ancient Egypt" (Mythtory of the World #2)
Animated by Ross Bollinger
40:23 - "Amour Then Enough" (Pencilmation #4)
Animation &amp; Music by Ross Bollinger
43:28 - "The Silk Road" (Mythtory of the World #4)
Animated by Ross Bollinger
46:42 - "DiscOh No!" (Pencilmation #8)
Animation &amp; Music by Ross Bollinger
49:11 - "A Sheepcar Named de' Fire" (Pencilmation #15)
Animated by Ross Bollinger
Music by David Sky &amp; The Tantric Rabblerousers</t>
  </si>
  <si>
    <t>This is an old video. I recently started to upload again. Scientific topics, and more, but animated! Check my new stuff out: https://www.youtube.com/RationalAnimations?sub_confirmation=1
_xD83D__xDFE0_ Support us on Patreon to receive rewards and to help make this channel self-sustaining: https://www.patreon.com/rationalanimations
Here is the program I used in the video to run the Game of Life, already containing the patterns you see: http://golly.sourceforge.net/</t>
  </si>
  <si>
    <t>Adventures of Rexy, the cute little T-Rex in the Jurassic World of friendly Dinosaurs. Episode #0 presents the very first day of Rexy, which is full of adventures... CGI Animated Film by Aenimax Innovation (former Aenima CGS) - ©2009 All Rights Reserved
All animation made by the creatives of Aenima CGS in 2009. All music was composed exclusively for this pilot. All music and sound design were recorded in the sound studio of Aenima CGS in 2008.
Idea, Producer, Director, Storyboard, Characters, General Technical Artist: Adam Magyar</t>
  </si>
  <si>
    <t>Cifras del Laboratorio de Economía de la Educación (LEE) , en cabeza de Luz Karime Abadía, de la Universidad Javeriana, develaron que 96% de los municipios del país no podrían implementar lecciones virtuales porque menos de la mitad de sus estudiantes de 11 tiene computador e internet en sus hogares. El reporte también mostró que 63% de los estudiantes en educación media de colegios públicos de Colombia no tiene acceso a internet ni computador en su hogar.
https://www.larepublica.co/</t>
  </si>
  <si>
    <t>Una tarea pendiente en la educación peruana es el fomento de un sentido crítico del uso de la tecnología y de la interacción con los medios de comunicación. La educación mediática se centra en el desarrollo de esta capacidad, que deriva en un manejo responsable de la información y consolida el ejercicio de la ciudadanía en una democracia. Estos conceptos son detallados en la presente entrevista con Julio César Mateus, graduado y docente de la Facultad de Comunicación de la Universidad de Lima, y doctor en Comunicación por la Universidad Pompeu Fabra de Barcelona, España.
Las investigaciones de Julio César Mateus se enfocan en las culturas digitales y la educación mediática. Asimismo, él participó en la edición de los libros Media Education in Latin America (Routledge, 2019) y MayéuTIC@: 28 preguntas para hackear la escuela (Fundación Telefónica, 2019). Además, es director de Contratexto, la revista de la Facultad de Comunicación de la Universidad de Lima, y del blog Educación Mediática, del portal Educared de la Fundación Telefónica del Perú, donde es asesor de proyectos educativos. https://bit.ly/3fL9daR</t>
  </si>
  <si>
    <t>Writer and artist James Bridle uncovers a dark, strange corner of the internet, where unknown people or groups on YouTube hack the brains of young children in return for advertising revenue. From "surprise egg" reveals and the "Finger Family Song" to algorithmically created mashups of familiar cartoon characters in violent situations, these videos exploit and terrify young minds -- and they tell us something about where our increasingly data-driven world is headed. "We need to stop thinking about technology as a solution to all of our problems, but think of it as a guide to what those problems actually are, so we can start thinking about them properly and start to address them," Bridle says.
Learn more about James Bridle's work:
https://www.ted.com/talks/james_bridle_the_nightmare_videos_of_childrens_youtube_and_what_s_wrong_with_the_internet_today/reading-list
Check out more TED Talks: http://www.ted.com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</si>
  <si>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None--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</si>
  <si>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Never miss a talk! SUBSCRIBE to the TEDx channel: http://bit.ly/1FAg8hB
Josh Kaufman is the author of the #1 international bestseller, 'The Personal MBA: Master the Art of Business', as well as the upcoming book 'The First 20 Hours: Mastering the Toughest Part of Learning Anything.' Josh specializes in teaching people from all walks of life how to master practical knowledge and skills. In his talk, he shares how having his first child inspired him to approach learning in a whole new way.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</si>
  <si>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¡Hola! Te invito a registrarte en 1xBet con el  código de invitación 1x_31840 para que disfrutes de una enorme variedad de los mejores juegos de casino como blackjack, poker, ruleta, crazy time, monopoly, slots y muchos más.
SÍGUEME EN MIS REDES SOCIALES
Skype: soyzexter
Facebook: https://www.facebook.com/PokerCardsMx
Twitter: https://twitter.com/Zexter_7
ASK: http://ask.fm/Zexter_
LOGROS
100,000 visualizaciones   JUNIO 2015
       500 subscriptores       JUNIO 2015</t>
  </si>
  <si>
    <t>Panel de Expertos En dónde enfocar esfuerzos en la Educación a partir del Covid 19  con Dell Technologies, la Secretaría de Educación del Estado de México, Secretaría de Educación de Jalisco, Secretaría de Investigación, Innovación y Educación Superior del Estado de Yucatán y el Ministerio de Educación de Panamá.
#MovimientoSTEAM #STEAM
Twitter: https://twitter.com/movimientosteam
Facebook: https://www.facebook.com/MovimientoSTEAM/
Linkedin: https://www.linkedin.com/company/movimiento-stem/
Instagram: https://www.instagram.com/movimientosteam/?hl=es-la
Página web: https://www.movimientostem.org/</t>
  </si>
  <si>
    <t>Este vídeo es de uso educativo en el marco del Programa de Educación a Distancia de la Provincia de Córdoba.</t>
  </si>
  <si>
    <t>No quiero hacer los deberes, cuento para niños y niñas en el que seguro que te vas a sentir muy identificado e identificada. Cuántas veces has escuchado esta frase, en este vídeo cuento encontrarás todas las claves para que tu hijo e hija entienda porque debe hacerlos, además todos los consejos para terminar lo más pronto posible, teniendo todo preparado, etc... consejos sobre la organización a la hora de hacerlos, es decir, plantear un horario, siempre el mismo, comenzar por las asignaturas más difíciles, para terminar con las más fáciles cuando ya están más cansados o cansadas. Motivación, etc... 
No te lo pierdas, seguro que os ayudará mucho, además de pasar un rato divertido junto a tu hijo e hija. 
El momento de escuchar un cuento no lo olvidará, y os unirá mucho. Con Princesa de La Luz, y Rosa Bastida, Psicóloga y Coach motivacional,  a la que avalan muchos años de experiencia. 
Recuerda suscribirte a nuestro canal para no perderte ninguno de nuestros vídeos, si te gusta comparte, así podrá llegar a más familias que necesiten ayuda a la hora de hacer los deberes con sus hijos e hijas. Y si quieres, visita nuestra web, princesadelaluz.com con muchos contenidos para padres y madres. 
Estamos a tu entera disposición para ayudarte en el desarrollo personal y emocional de tus hijos e hijas. 
SUSCRIRSE PINCHA AQUÍ: _xD83D__xDCAF_➡️ https://goo.gl/JnIUwA
#cuentosinfantiles #educacioninfantil #deberes
OTROS VÍDEOS RELACIONADOS:
_xD83D__xDC40_ CUENTO CORONAVIRUS PARA NIÑOS Y NIÑAS ▶ https://youtu.be/UDJ76dTiwyA
_xD83D__xDC40_ CUENTO INCLUSIÓN PARA NIÑOS - Planeta Luz▶ https://youtu.be/8-lH_cMyjD0
_xD83D__xDC40_ Como superar el miedo a las inyecciones. ▶https://youtu.be/Zix_7tY9mhs
_xD83D__xDD0A_ VÍDEOS INFANTILES EDUCATIVOS - Princesa de la Luz -
 https://www.youtube.com/watch?v=7Teq8EtT4hc&amp;list=PL0M9_pmHORVYaYKbO2inSyQOYHlc4dKz1
  ✅SUSCRIRSE GRATIS  PINCHA AQUÍ▶️ https://goo.gl/JnIUwA
  ✅WEB▶️ http://princesadelaluz.com/
  ✅FACEBOOK▶️ https://www.facebook.com/laprincesadelaluz/
  ✅INSTAGRAM ▶️https://www.instagram.com/princesadelaluz/
CONTACTO: trioliberty@yahoo.es</t>
  </si>
  <si>
    <t>¿Quieres aprender COMO USAR CANVA PARA PRESENTACIONES? En este tutorial de Canva aprenderás como usar Canva para preparar presentaciones eficaces y profesionales en nada de tiempo.
Además, encontrarás consejos muy útiles a la hora de preparar cualquier presentación y que siempre debes tener en cuenta. 
¿Para qué sirve CANVA? Con CANVA podrás hacer innumerables diseños con un toque PROFESIONAL y sin necesidad de tener ningún conocimiento de diseño. Aprende cómo en ese tutorial: ➡️ https://youtu.be/kdE6ZmT_5MI        
¿Quieres probar CANVA PRO GRATIS?
_xD83D__xDD3A__xD83D__xDD3A__xD83D__xDD3A__xD83D__xDD3A_PRUEBA CANVA PRO GRATIS AHORA 45 DÍAS!!! _xD83D__xDD3A__xD83D__xDD3A__xD83D__xDD3A__xD83D__xDD3A_ https://www.canva.com/affiliates/APRENDE/?irgwc=1&amp;utm_medium=affiliate&amp;utm_source=Generaci%C3%B3n%20Aprende&amp;clickId=1RHUgXT2YxyLWOVwUx0Mo3EOUkBxaXSG5SXTUE0
_xD83C__xDD9A_ Si tienes dudas sobre las funcionalidades de Canva Pro y quieres conocer mi opinión (varios meses después de este tutorial) sobre si merece la pena, échale un vistazo a este video: https://youtu.be/2UJ96ypTsIA
Si después de los 45 días no quieres continuar con tu versión PRO, no te olvides de cancelar tu suscripción antes de que finalice el periodo de prueba para que no te pasen el cargo! 
La licencia PRO de CANVA tiene un coste de 12€/mes (si pagas mensualmente) o 9€/mes si eliges el plan anual.
El link que os dejamos es un link de afiliados que no supone ningún coste extra para vosotros, pero que si lo utilizáis para comprar la versión PRO nos llevamos una pequeña comisión, por lo que si quieres ayudar al canal, y después de probar los 45 días decides que quieres seguir usándolo, te agradecemos enormemente que lo hagas a través de este link. Nuestro consejo es que siempre uses la prueba de 45 días antes de tomar una decisión para que puedas valorar realmente cual es la versión que te conviene,
ADEMÁS... Aquí te dejamos otros vídeos que también te pueden interesar _xD83D__xDC47__xD83C__xDFFC__xD83D__xDC47__xD83C__xDFFC__xD83D__xDC47__xD83C__xDFFC__xD83D__xDC47__xD83C__xDFFC__xD83D__xDC47__xD83C__xDFFC__xD83D__xDC47__xD83C__xDFFC__xD83D__xDC47__xD83C__xDFFC_:
_xD83D__xDD1D__xD83D__xDFE1_ TODOS LOS TUTORIALES DE CANVA: https://www.youtube.com/playlist?list=PLUhcty-XhbKjw8WRPxku3Lur7oMTl6Wk_
_xD83D__xDD34_COMO USAR GOOGLE DRIVE para trabajar en archivos compartidos ➡️https://youtu.be/IS9MH9HtvT8
_xD83D__xDD34_18 ATAJOS DE TECLADO EN EXCEL PARA AHORRAR TIEMPO ➡️
https://youtu.be/Z_lScrZ6uWc
_xD83D__xDD34_TABLAS DINÁMICAS DESDE CERO ➡️
https://youtu.be/xuG1E_BtMRY
_xD83D__xDD34_ AUTOSUMA Tutorial completo - úsalo a nivel PRO ➡️ 
https://youtu.be/CmWD3X4-C6c
_xD83D__xDD34_ COMO INSERTAR FORMAS DE WORD ➡️ 
https://youtu.be/803XnDjxWBQ
Si te ha gustado Y HAS APRENDIDO ALGO ÚTIL no te olvides de DARLE UN LIKE _xD83D__xDC4D_ y COMPARTIRLO _xD83D__xDCF2_ _xD83D__xDCAC_ con todos aquellos a los que  consideres que les puede resultar de utilidad _xD83E__xDD13_.
_xD83D__xDD35_ DÉJANOS UN COMENTARIO CON CUALQUIER PREGUNTA QUE TE SURJA _xD83D__xDCAC_ 
_xD83D__xDD35_ SÍGUENOS EN INSTAGRAM para tener una dosis diaria de CONOCIMIENTO _xD83E__xDD13_ ➡️  https://www.instagram.com/generacionaprende/
_xD83D__xDD35_ Y RECUERDA, PRACTICA TODO LO QUE PUEDAS PARA INCORPORAR TODO LO QUE APRENDAS A TU RUTINA DIARIA, LA CLAVE ESTA EN PRACTICAR, PRACTICAR Y PRACTICAR _xD83E__xDD19_
¡Nos vemos en el próximo vídeo!
¡UN ABRAZO!</t>
  </si>
  <si>
    <t>El Exsecretario Educacion de Bogotá, Oscar Sánchez pasó "Al PIzarrón" y nos contó algunos detalles sobre su experiencia en la cabeza del ente regulador de la educación en la capital del país y cómo se puede impactar de manera positiva el sistema educativo a nivel nacional.
Si desea conocer más información sobre educación visite www.compartirpalabramaestra.org</t>
  </si>
  <si>
    <t>I spent 25 hours spread over 8 days building this massive triple spiral structure with 15,000 dominoes. Subscribe for my best project yet _xD83D__xDE0A_ give it a share for all the hard work!
THE AMAZING QUADRUPLE SPIRAL: https://youtu.be/PrA_tRQq5J8
Worked flawlessly with no breaks! For proof, watch this structure build itself in REVERSE! https://www.youtube.com/watch?v=L9jpBdLCHyM
Pretty sure this is an American record for longest domino speedwall too :)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
_xD83C__xDFB5_ MUSIC: "Good Vibes" by Axero :
https://www.youtube.com/watch?v=IQwZ7dQlxqI
https://www.youtube.com/channel/UCMRRQnLAzNCGIMewYM5Ti6Q
https://soundcloud.com/axeroofficial</t>
  </si>
  <si>
    <t>Click to share on Facebook! ► http://bit.ly/25000Domino
Click to tweet! ► http://ClickToTweet.com/Y24vQ
This is a 25,000 domino setup that I built with Petmagnetetal a few weeks ago for Operation Enfant Soleil and Familiprix. This setup took two days to build and there were no breaks! (Though I'm from USA, this was built in Montreal, Canada, hence the French writing). Check out the professionally filmed/edited version here! http://www.youtube.com/watch?v=9zBtCW4SN_4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t>
  </si>
  <si>
    <t>10 remedios caseros para la erisipela tratamiento para la erisipela. En esta oportunidad te mencionaremos algunas formas caceras de eliminar la molesta infección en la piel llamada erisipela. Esta infección afecta la dermis de tu piel los vasos linfáticos y se contrae por heridas en la piel que le permiten paso al estreptococo que la produce, a continuación te mostraremos de una forma rápida, y efectiva como eliminarlas definitivamente.
Sucribete = Comparte
=========================
Mi youtube     = https://goo.gl/I8KhqO
Mi facebook  = https://goo.gl/TMLfX3
Mi twitter       = https://goo.gl/wD1Gu5
Mi pinterest   = https://goo.gl/Bo3jCZ
Mi linkedin    = https://goo.gl/qTUQc6
Mi reddit      = https://goo.gl/M7PSD6
Mi tumblr      = https://goo.gl/qC2V83
=========================
Temas relacionados
10 Remedios para Aliviar las Ronchas | Tratamientos para la Urticaria Ronchas Picazon de Piel
https://www.youtube.com/watch?v=c3qpZlzm9nw
10 Remedios Caseros para la Hiperglucemia | Como Controlar el Azúcar en la Sangre 
https://www.youtube.com/watch?v=GUkvA4CKMyY
10 Remedios Caseros para la Lengua Geográfica - Remedio para Glositis Migratoria Lengua Fisurada
https://www.youtube.com/watch?v=4oUdSNBa5BE
10 Remedios para Equilibrar los Niveles Hormonales -PROBLEMAS HORMONALES MUJERES 
https://www.youtube.com/watch?v=WoYI7UeXoFM
https://www.youtube.com/watch?v=IHchRepUj8o
https://es.wikipedia.org/wiki/Erisipela
1. Miel: A casi todos nosotros nos encanta la miel, pero en este caso se colocara  en la zona afectada, esto ayuda a estimular al cuerpo más rápidamente a la formación de piel nueva y cicatrización de las áreas lastimadas.
2. Zanahorias y Apio: El jugo de zanahoria en conjunto con el apio provee a la piel los nutrientes fundamentales para combatir la infección desde dentro de tu cuerpo, además de aumentar las defensas para evitar las fiebres que puede ocasionar la infección.
3. La Planta de Equinácea: Otra alternativa muy efectiva es verter 2 cucharadas de la planta de ¨equinácea¨ en una taza de agua caliente, dejar descansar y colocar en el área afectada  con un paño frio para calmar la sensación de malestar en la piel.
4. Sábila: Para ayudar a calmar las molestias de estas afecciones y curar la herida, este remedio es totalmente efectivo para ti, es necesario tomar una penca de sábila o también conocida como aloe vera , sacar su gel poner a refrigerar y una vez que este frio poner en la dermis, esto ayudara a curar rápidamente la piel. También es efectivo para las quemaduras.
5. Flores de Sauco: De igual forma, nada mejor para curar la erisipela, que hacer una Infusión de flores de sauco  para refrescar el área afectada de forma natural. Si el área es extensa, duplicar o triplicar la cantidad según sea necesario para que la curación sea aún más efectiva.
6. Planta Ruda: Gracias a sus excelentes beneficios la planta ruda es excelente para colocarla en la piel en forma de compresas frías para evitar la molestia en la piel, haciendo esto tres veces al día notaras la mejora del área lesionada. 
7. Membrillo: Este remedio se emplea de la siguiente manera, en  la piel afectada se debe colocar una Infusión creada con  100 gr de membrillo hervido por 20 min en dos tazas de agua. Poner en el área afectada 1 o 2 veces por semana.
8. Flores de Caléndula: realizar en forma de infusión, posteriormente se debe dejar reposar la infusión y aplicar en compresas frías, de igual forma se debe lavar muy bien el área afectada 3 veces al día y aplicar las comprensas.
9. Cactus de Nopal: Una infusión de los frutos del cactus de nopal es también efectivo para sanar la piel, aplica caliente sobre la piel inflamada. Repita el procedimiento hasta que su piel este sana.
10.  Sol: Cabe considerar, que los baños de sol  en la piel seguido de frotar compresas de agua fría estimula a que la piel se cure con mayor rapidez.
Finalmente, cabe destacar que además de tratar los síntomas con estos efectivos remedios caseros, debes tomar la medicación indicada por tu médico para tener mejores resultados y que tu piel tenga el mejor aspecto posible.
☞ 10 Remedios caseros para la erisipela
Erisipela | Remedios Caseros Para La Erisipela | Remédio Para Erisipela
COMO CURAR LA ERICIPELA CON FERNANDO TORO BAQUERO
ERISIPELA TRATAMIENTO QUE LA CURA</t>
  </si>
  <si>
    <t>Todo el mundo está al pendiente de si el PIB crece o no y cuánto lo hace. ¿Pero por qué es tan importante eso del PIB? ¡Entérate!</t>
  </si>
  <si>
    <t>La robótica, electrónica, automatismo, software, inteligencia artificial y trazabilidad, están revolucionando el trabajo en el sector agropecuario. La búsqueda de sistemas sustentables genera una gran oportunidad en la era del campo moderno. Andrés Méndez repasa las principales novedades en el uso de robots,  que se están aplicando en Japón, Estados Unidos y Europa, entre las que se destaca las aplicaciones selectivas sin deriva.
- Ing. Agr. Andrés Méndez, Consultor Privado</t>
  </si>
  <si>
    <t>Como los cruds son inevitables, aquí les dejo contenido para que tengan a la mano y espero que les pueda servir, les deseo mucho éxito en todos sus proyectos: 
✅  Crud Laravel 8 https://youtu.be/9DU7WLZeam8
✅  Crud React  https://www.youtube.com/watch?v=_DJBFUIT2Kg
✅  Crud CodeIgniter4 https://youtu.be/yr699_OD3-g 
✅  Crud php crudo https://www.youtube.com/watch?v=xK_1IRknYw0&amp;list=PLSuKjujFoGJ1FzCA6oCZHZvnoeGLj3I1w 
✅  Crud Node&amp;express https://youtu.be/ZdalwuQ__Xk
✅  Crud Python&amp;flask https://youtu.be/gUED5uFmyQI
✅  Crud Java https://www.youtube.com/watch?v=kPCbb80_6GI 
✅  Crud .NET+MVC&amp;C# https://www.youtube.com/watch?v=0Gu56u71G18 
✅  Crud Golang https://www.youtube.com/watch?v=G58gN0lIbyI
Y si no afecta a tu economía puedes invitarme a un café para despertarme y hacer más animaciones: https://www.paypal.com/paypalme/develoteca/5usd 
¿Qué es Big Data y para qué sirve?, te lo explicamos con una animación
En este vídeo se muestra una animación para hablar sobre Big Data y donde se usa, como funciona y las categorías, así como también se mencionan algunos aspectos generales. 
==============================================
También te invito a ver más series del canal:
Otras aplicaciones de interés 
✅CRUD con PHP Crudo: https://www.youtube.com/watch?v=xK_1IRknYw0&amp;list=PLSuKjujFoGJ1FzCA6oCZHZvnoeGLj3I1w&amp;index=1 
✅CRUD con Laravel: https://www.youtube.com/watch?v=L5SOyyOGGn0&amp;list=PLSuKjujFoGJ0n70D2NxQsDA12mjRn9T2w&amp;index=1 
✅Calendario Web con FullCalendar con PHP y Laravel: https://www.youtube.com/watch?v=90J4BKdBqzI&amp;list=PLSuKjujFoGJ3yVQMps4A24g3eBSkUCLXZ&amp;index=1 
✅Calendario web con PHP Crudo: https://www.youtube.com/watch?v=XXjUg03F9ys&amp;list=PLSuKjujFoGJ3xqSJHnZUR-INEO71t1znq&amp;index=1 
✅Carrito de compras con PHP: https://www.youtube.com/watch?v=tlkO9hhOqak&amp;list=PLSuKjujFoGJ0XF_Gv0VpiTHxAtO7LL8jl&amp;index=1 
✅Mapas web con ASP.NET : https://www.youtube.com/watch?v=W7Nl0bfTndA&amp;list=PLSuKjujFoGJ1Js79nq1pjwzH1RxQLvYdQ&amp;index=2
✅Curso de VUE: https://www.youtube.com/watch?v=iVPHbG2oe3Y&amp;list=PLSuKjujFoGJ2-vzCyTy0ljEa4QfkpRF4X&amp;index=1 
✅Administrador de productos en PHP Crudo: https://www.youtube.com/watch?v=H3kqzmZ6EqE&amp;list=PLSuKjujFoGJ0b25h9D-hKaU0hrHIhe-4A&amp;index=1 
✅Charlas de tecnología: https://www.youtube.com/watch?v=Bchw2dB6Z_Y&amp;list=PLSuKjujFoGJ1ZQCfUmPqp4KsXpfWdq8gk&amp;index=10</t>
  </si>
  <si>
    <t>Video realizado por un estudiante de pedagogía en lenguaje y comunicación para el ramo de alfabetización digital en la Universidad de antofagasta. Donde se aborda el tema de brecha digital 
#universidad #brecha #digital #Chile #youtube #tecnológias #computación</t>
  </si>
  <si>
    <t>What is digital literacy? This video is intended to start a conversation for a professional development session in which staff come up with a common definition of digital literacy and the experiences students will need at each grade level to get them to becoming fully digitally literate.</t>
  </si>
  <si>
    <t>HUGE 25,000 domino screenlink!
Enjoy new domino techniques come down with 25,000 dominoes in an artistic way!
Subscribe to the builders:
TheDominoEffect - https://www.youtube.com/channel/UC85p1a5kWSc9-o1q1amLzRQ
Dynamic Domino - https://www.youtube.com/channel/UCn551amAW5JL25RYNgT3qYA
►GET CONNECTED
Contact me ► dynamicdominoes@gmail.com
Official Website ► https://www.dynamicdomino.com/
YouTube ► https://www.youtube.com/channel/UCn551amAW5JL25RYNgT3qYA
More from Dynamic Domino ► https://www.youtube.com/watch?v=fXGr9DZhuek&amp;list=PLAa60OJuhMjvtMoyBCqY1XJQ-QZe2kTd5
Facebook ►https://www.facebook.com/Dynamic-Domino-552159968274961/?ref=aymt_homepage_panel
Instagram ► https://www.instagram.com/dynamicdominoes/?hl=en
Google+ ► https://plus.google.com/b/101935944278031552819/+DynamicDomino/posts?gmbpt=true&amp;pageId=101935944278031552819
►MORE ABOUT DYNAMIC DOMINO
Dynamic Domino is a 16-year-old professional domino artist that has been building for over 6 years. In the last year he has participated in many domino commercials, events, and other ads.
Early 2017 he was the lead builder for a commercial done in Paraguay, which was also the most dominoes ever toppled in South America.</t>
  </si>
  <si>
    <t>¿Qué son las redes de apoyo? ¿Por qué son importantes? ¿Cómo nos ayudan en tiempos de crisis?
Aquí algunas pistas para identificar y fortalecer las redes de apoyo.
Para mayor información del proyecto, puede escribir a: lazossocialesec@gmail.com</t>
  </si>
  <si>
    <t>_xD83D__xDD34_ Si viniste por tu tarea aquí te lo explicamos todo _xD83E__xDDE0_
Las TIC son la sigla de Tecnologías de la Información y las Comunicaciones que han existido desde finales de los 60’s. Son todo, absolutamente todo lo que te permite a ti como usuario comunicarte o informarte usando como medio la tecnología. Y es por eso que decidimos hacer este video explicando en tan solo 3 minutos el significado y alcance que tiene este concepto.
¡Síguenos!
_xD83D__xDD38_ Facebook: https://www.facebook.com/ticnoticos
_xD83D__xDD38_ Instagram: https://www.instagram.com/ticnoticos/
_xD83D__xDD38_ Twitter: https://twitter.com/ticnoticos
_xD83D__xDD38_ Blog: https://ticnoticos.blogspot.com/
Fuentes:
• https://www.cs.cmu.edu/~rtongia/ICT4SD_Ch_2--ICT.pdf
• https://core.ac.uk/download/pdf/55335022.pdf
-------------------------------------------------------------------
Créditos Música Outro
Titulo: Underwater 
Autor: Oscar Canelo
Label: Boost Records
Link:  https://youtu.be/Ea7lFBtUSQ4
------------------------------------------------------------------
I DO NOT OWN ANY OF THE CLIPS OR IMAGES SHOWN IN THIS DOCUMENTARY.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t>
  </si>
  <si>
    <t>Epic 10,000 iPhone 5 Domino  showcases 10,000 iPhones (that's right TEN THOUSAND iPhones) falling neatly in patterns. These CG iPhones' feature NFC (Near Field Communications)  concept that enable content to be passed on from one iPhone screen to another.
This iPhone video is imagined as an advertisement for the iPhone 5 concept feature of NFC. If iPhone 5S comes with the NFC feature, this could be a pretty neat iPhone commercial.
Spread the good word on Facebook, Twitter, G+ using #TenThousandiPhone5  
Thanks to Revision 3 (http://www.youtube.com/revision3) stars for setting off the iPhone Dominoes: 
Scott Bromley and Annie Gaus of Tech Feed News (https://www.youtube.com/watch?v=PnQgnqky5tc&amp;list=SPuiBx681uVklckN88o7EgM8IMXebhEOA3) 
Laci Green of DNews and Sex+ (https://www.youtube.com/dnews)(https://www.youtube.com/lacigreen)
More Aatma Studio  :
Visit our YouTube Channel  
http://www.youtube.com/aatmastudio
Subscribe to us on YouTube (Be the first to watch our upcoming videos) 
‪http://www.youtube.com/subscription_center?add_user=aatmastudio 
Watch our other blockbuster videos - iPhone 5 Concept Features &amp; iPad 3 Concept Features  
http://youtu.be/lzsBwnv_dAg
http://www.youtube.com/watch?v=DuosLfc0zU8
http://youtu.be/9s2oYUy_cVY 
 Follow us on our Social Media Pages ‪
http://www.facebook.com/aatmastudio
 ‪http://www.twitter.com/aatmastudio ‪
http://aatmastudio.tumblr.com/ ‪
http://www.pinterest.com/aatmastudio/
 Official Website ‪: http://www.aatmastudio.com</t>
  </si>
  <si>
    <t>¿Sabías que el SernamEG tiene 4 áreas de trabajo para fortalecer más y mejores derechos para las mujeres de Chile?
El Servicio Nacional de la Mujer y la Equidad de Género (ex Sernam) del Ministerio de la Mujer y la Equidad de Género ejecuta programas e iniciativas en las áreas de: Mujeres y trabajo; Violencias contra las Mujeres; Mujer ciudadanía y participación; Buen Vivir de la Sexualidad y Reproducción.
Conoce cómo el Servicio apoya a las mujeres de Chile.
#JuntasSomosMás
#MujeresDeChile</t>
  </si>
  <si>
    <t>Chile como potencia Agroalimentaria demanda profesionales alineados en la producción responsable con su entorno social y medioambiental, capaces de desarrollar estrategias productivas innovadoras e insertas en un escenario de consumidores cada vez más exigentes e informados.</t>
  </si>
  <si>
    <t>WATCH PART 2 HERE! :) ► https://youtu.be/oD4R9uIM1T0
Millionendollarboy and I spent over 3 months creating this awesome domino trick screenlink! There are between 20,000-25,000 dominoes total. Enjoy watching the neat effects and make sure to subscribe to both of our channels if you want to see more! Hevesh5: http://youtube.com/hevesh5 
Millionendollarboy: http://youtube.com/millionendollarboy
Extras/fails: http://youtube.com/watch?v=FPCz51JPs3c
Note: This style of domino video is called a "screenlink." Each clip is created separately, then edited together to make it look like one long setup. The first half are my clips (built in USA) then at 1:35 it switches to millionendollarboy's (built in Germany.) This was a collab video so it was impossible to do one take, not to mention how much floor space and dominoes would be needed.
__________________________________________________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
__________________________________________________
_xD83C__xDFB5_ MUSIC: "Made in NZ" produced by DJ Smack
Dj Smack's Youtube: http://www.youtube.com/Djsmack100
Dj Smack's Soundcloud: http://soundcloud.com/dj-smack-1
Dj Smack's Twitter: http://twitter.com//seanmackeyinnz
Distributed for free use by Activity _xD83C__xDFB5_ MUSIC:
http://www.youtube.com/activitymusic
http://www.twitter.com/activitymusic
http://www.facebook.com/ActivityMusicPromotion
License terms can be found here: https://youtube.com/watch?v=RilPiSVROJ4
Note: You may NOT re-upload this video to any platform without my permission.</t>
  </si>
  <si>
    <t>HOLA QUÉ TAL MIS QUERIDOS EDUCANDOS.
En este video les muestro CÓMO CITAR Y HACER LA REFERENCIA DE UN VIDEO DE YOUTUBE DE FORMA AUTOMÁTICA EN WORD DE ACUERDO CON NORMAS APA 7°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#NormasAPA   #APA7Edición
REDES SOCIALES
Twitter: https://www.twitter.com/Massarik79 
Página de Facebook: fb.me/Massarik2.0
Link: CÓMO CITAR UNA CANCIÓN EN WORD | MUESTRO EJEMPLO | NORMAS APA 7° ED.
https://youtu.be/bL5qxHsGcu4
Link: CÓMO CITAR y REFERENCIAR UNA PELÍCULA EN WORD | MUESTRO EJEMPLO | NORMAS APA 7° ED.
https://youtu.be/_m5tfYcxBs0
Link: CÓMO CITAR y REFERENCIAR AUDIOLIBRO EN WORD | MUESTRO EJEMPLO | NORMAS APA 7° ED.
https://youtu.be/sWXGAzH7Ogs
Link: CÓMO HACER UN ÍNDICE DE FIGURAS AUTOMÁTICO EN WORD | MUESTRO EJEMPLO
https://youtu.be/ufLRDoWIeHo
Link: VARIABLES ESTADÍSTICAS | EXPLICACIÓN Y EJEMPLOS SENCILLOS | CUALITATIVAS Y CUANTITATIVAS
https://youtu.be/AmpREX0-LL4
Link: VARIABLE DEPENDIENTE E INDEPENDIENTE EN UN PROYECTO DE INVESTIGACIÓN CON EJEMPLO
https://youtu.be/tohE6hhGL9A 
Link: CÓMO HACER UNA HIPÓTESIS
https://www.youtube.com/watch?v=zDNvbSjQL5Q
Link: CÓMO CITAR TESIS, TESINAS Y MONOGRAFÍAS FÁCILMENTE| NORMAS APA 7° ED.
 https://youtu.be/aO670hYXnEI
Link: CÓMO CITAR LIBRO EN LÍNEA FÁCILMENTE | NORMAS APA 7° ED.
https://youtu.be/9HZKvKxVQS8
Link: CÓMO CITAR LIBRO FÁCILMENTE | NORMAS APA 7° ED.
https://youtu.be/QgQ6cDxM4Uk
Link: CÓMO CITAR PÁGINAS WEB FÁCILMENTE | NORMAS APA 7° ED.
https://youtu.be/Z0ihlPQkg8c
Link: CÓMO HACER UNA CITA TEXTUAL CORTA | MUESTRO EJEMPLO | NORMAS APA 
https://youtu.be/Q3AQqkyB1mY
Link: CÓMO HABLAR EN PÚBLICO SIN NERVIOS Y HACER UNA EXTRAORDINARIA EXPOSICIÓN
https://youtu.be/ftrFA0Vz4FU
LINK: CÓMO HACER LAS CONCLUSIONES DE UN TRABAJO DE INVESTIGACIÓN
https://youtu.be/rsGRvGkU5F4
Link: CÓMO USAR EL PUNTO | MUESTRO EJEMPLO | NORMAS APA 6° ED.
https://youtu.be/evTTAZxs2bA
Link: CÓMO USAR COMILLAS EN UN TRABAJO | MUESTRO EJEMPLO | NORMAS APA 6° ED.
https://youtu.be/-uQMcieu-vg
Link: CÓMO HACER UNA HIPÓTESIS DESCRIPTIVA | MUESTRO EJEMPLO 
https://youtu.be/6r6K_dpOQ3g
Link: CÓMO HACER UNA HIPÓTESIS CAUSAL O EXPLICATIVA | MUESTRO EJEMPLO 
https://youtu.be/8D52Dk6iFiU
Link: CÓMO HACER UNA HIPÓTESIS CORRELACIONAL | MUESTRO EJEMPLO 
https://youtu.be/nItelADB34I
Link: CÓMO CITAR UN ARTÍCULO DE LA CONSTITUCIÓN | NORMAS APA 6° EDICIÓN
https://youtu.be/U1iFJAOIyrk
Link: Cómo agregar los ANEXOS en un trabajo Paso a Paso | Muestro Ejemplo
https://youtu.be/Qbn4Y_Vu9FI
Link: CÓMO REDACTAR LOS RESULTADOS DE UNA TESIS | ENFOQUE CUANTITATIVO
https://youtu.be/stVRIPnZbyQ
Link: CÓMO CITAR UN LIBRO EN LÍNEA | HACER SU BIBLIOGRAFÍA |NORMAS APA 6° EDICIÓN
https://youtu.be/zs-suahZfVs
Link: CÓMO ELABORAR EL ESTADO DEL ARTE EN UN PROYECTO DE INVESTIGACIÓN O TESIS CON EJEMPLO
https://youtu.be/3xpbc64O2cU 
Link: CÓMO REDACTAR EL MARCO METODOLÓGICO PASO A PASO | MUESTRO EJEMPLO
https://youtu.be/x6QLh-jRny4
Link: QUÉ ELEMENTOS CONTIENE UN PROYECTO O PROTOCOLO DE INVESTIGACIÓN
https://www.youtube.com/watch?v=0Z9QoReyBSc 
Link: ELECCIÓN Y DELIMITACIÓN DEL TEMA DE INVESTIGACIÓN
https://www.youtube.com/watch?v=zsqemeClPqQ 
Link: CÓMO REDACTAR EL PLANTEAMIENTO DEL PROBLEMA
https://www.youtube.com/watch?v=Doku25B_d0U&amp;t=359s
Link: CÓMO ELABORAR LAS PREGUNTAS DE INVESTIGACIÓN
https://youtu.be/RCV0LQbprZg
Link: CÓMO ELABORAR LOS OBJETIVOS DE INVESTIGACIÓN
https://youtu.be/yYeNHVmuJjU
Link: CÓMO ELABORAR LA JUSTIFICACIÓN EN UN PROYECTO DE INVESTIGACIÓN O TESIS
https://youtu.be/WSUxYaZaE-g
Link: CÓMO ELABORAR MARCO TEÓRICO CON EJEMPLO PARA TESIS O PROYECTO DE INVESTIGACIÓN
https://youtu.be/G9QqebLhLEk
LinK: CÓMO HACER LA INTRODUCCIÓN DE UN TRABAJO DE INVESTIGACIÓN
https://youtu.be/9ZdHLv9FWJw 
Link: CÓMO HACER UNA PORTADA EN WORD FÁCILMENTE
https://youtu.be/WeRNaJcjN7k
Link: Cómo elegir un TEMA para tu TESIS, TESINA o MONOGRAFÍA
https://youtu.be/mb3aSw5Q-Xk
Link: Cómo elaborar el MARCO CONTEXTUAL | Muestro EJEMPLOS
https://youtu.be/yGlN7TvjRuA
Link: Cómo elaborar el MARCO CONCEPTUAL | Muestro EJEMPLO
https://youtu.be/fLSp4M-P7AU
Link: CÓMO HACER UNA PORTADA DE NORMAS APA 6° EDICIÓN 
https://youtu.be/IpQN3sUoi5E
Link: Cómo hacer el MARCO JURÍDICO | Muestro EJEMPLO
https://youtu.be/qNTYthhQhXE
Link: Cómo citar una LEY con NORMAS APA 6° EDICIÓN
https://youtu.be/97y8hIPuKf0
Link: CÓMO ELABORAR LOS ANTECEDENTES EN UNA INVESTIGACIÓN | MUESTRO EJEMPLO
https://youtu.be/TQDf5RzOxFs
Link: CÓMO CITAR IMAGEN EN LÍNEA | MUESTRO EJEMPLO | NORMAS APA 6° EDICIÓN
https://youtu.be/b16pHiA8HfM
Link: CÓMO HACER FÁCIL UN ÍNDICE DE FIGURAS AUTOMÁTICO EN WORD | MUESTRO SEGUNDO EJEMPLO
https://youtu.be/OtWSzLOZUWk</t>
  </si>
  <si>
    <t>Características de la lengua oral y de la lengua escrita. Diferencias</t>
  </si>
  <si>
    <t>Recopilación de información referente a la alfabetización inicial. La entrevista se realizó con el propósito conocer más sobre el concepto, el concepto que tiene el docente en el labor sobre el tema así como la dedicación y la importancia que se le da ahora en la actualidad especialmente en el área de español.</t>
  </si>
  <si>
    <t>Anuncian supuesta muerte del cantante Cristiano JULIO MELGAR Y DESMIENTE CON ESTE VIDEO 
Apoya el canal con una donación: https://www.paypal.me/abglezz
Mi testimonio “Dios me sano de Leucemia” (Versión completa ) https://youtu.be/XH1SATIqg1k
Versión corta: https://youtu.be/vgFa3xNZbrw
Visita el Segundo canal (de mi hija _xD83D__xDC67__xD83C__xDFFC_)
 "Aze Vlogs" : https://goo.gl/1E1hfL
Invitaciones o eventos Booking:
Abrahamgonzalez1@hotmail.com 
Puedes seguirme por las redes sociales:
Instagram: 
Abraham: https://goo.gl/m0k3go
Sígueme en mi página oficial de  Facebook: https://goo.gl/Z6idzh
Mis otras páginas de Facebook:
-imágenes cristianas: https://goo.gl/tyMlEm
-Soy un hijo de pastor : https://m.facebook.com/soyunhijodepastor/
-Twitter Abraham: https://goo.gl/YlpCFr
Correo contacto : Abrahamgonzalez1@hotmail.com
Te invitamos a Descargar nuestro disco en las tiendas digitales 
AQUÍ ABAJO_xD83D__xDC47_ les dejamos algunos de los links de Descarga, ayúdennos a compartir nuestra música con tus amigos _xD83D__xDC4F__xD83C__xDFFC_ Bendiciones!!! 
_xD83D__xDD35_iTunes (Dispositivos Apple):
https://itun.es/mx/B5Gwbb
_xD83D__xDD34_GooglePlayMusic (Dispositivos Android) : https://play.google.com/store/music/album/Anah%C3%AD_Alvarado_Volverme_a_Enamorar?id=B2y424ohhquzd7cpkx4dzld52py
⚪️CdBaby: http://www.cdbaby.com/cd/anahialvarado#
⚫️Spotify: https://open.spotify.com/album/7qi2rYlHkKkEuLeVBqAVvl</t>
  </si>
  <si>
    <t>¿Aún no sabes cuáles son las etapas de la Revolución Francesa? Dedícame 5 minutos y te lo cuento en un vídeo ameno _xD83D__xDE31__xD83D__xDE31_
Suscríbete a mi canal: https://www.youtube.com/channel/UCWzQmDWp_mjh3AOzPCZNzEQ
Mi blog: https://historiaencomentarios.com
Twitter: https://twitter.com/history_topics
Instagram: https://www.instagram.com/history_topics/
Facebook: https://www.facebook.com/historiaencomentarios/
RECIBE POR TELEGRAM TODAS LAS NOVEDADES DE ESTE CANAL: https://t.me/historiaencomentarios 
¿Cuáles fueron los principales sucesos de 1789? ¿Cuántas son las etapas de la Revolución Francesa? ¿Por qué se levantó el pueblo de París el 14 de julio de 1789? ¿Cuáles fueron las principales medidas legislativas de la Asamblea Nacional? En este vídeo, pensado para alumnos de 1º de Bachillerato, responderemos a esas preguntas sobre los primeros años del proceso revolucionario francés. Además, repasaremos una cuestión tan importante como La Enciclopedia, situándola entre los antecedentes de la Revolución.
Estructura del vídeo:
0:11 Introducción.
0:34 Las etapas de la Revolución Francesa.
2:04 Los inicios de la Revolución Francesa.
3:02 La Asamblea Nacional.
3:45 La Toma de la Bastilla.
4:21 La Constitución de 1791.
Puedes consultar los demás vídeos de esta serie en los siguientes enlaces:
- Las causas de la Revolución Francesa: https://www.youtube.com/watch?v=oSPGegvAdcw&amp;frags=pl%2Cwn
- La proclamación de la República y la Convención: https://www.youtube.com/watch?v=9X67ropcbrc&amp;list=PLUMALPudikp6wDNb400D4AJsDlA5It8lF&amp;index=3
- La Convención termidoriana y el Directorio: https://www.youtube.com/watch?v=rJPF5jeD8sg&amp;list=PLUMALPudikp6wDNb400D4AJsDlA5It8lF&amp;index=4
- El 18 de Brumario y el Consulado: https://www.youtube.com/watch?v=OuejNN2XlQ8&amp;index=5&amp;list=PLUMALPudikp6wDNb400D4AJsDlA5It8lF
- El Imperio Napoleónico: https://www.youtube.com/watch?v=Yzvz2bKW3I8&amp;index=6&amp;list=PLUMALPudikp6wDNb400D4AJsDlA5It8lF</t>
  </si>
  <si>
    <t>SUSCRÍBETE www.youtube.com/user/isaperozo
Hola mis Oradores Estrellas! Esta semana vamos a hablar sobre cómo entrevistar a otras personas de una manera respetuosa y profesional. Espero les sea útil!!!
Sígueme en mis redes sociales:
Facebook: Isabel Perozo
Instagram: @IsabelPerozo
Web y Blog: www.isabelperozo.com
Cámara y Diseño Gráfico: Argenis López @lopezargenis
Edición: Isabel Perozo</t>
  </si>
  <si>
    <t>Un curso de Fundación Telefónica del Perú.</t>
  </si>
  <si>
    <t>Conoce que es un ingeniero industrial, en donde se puede desarrollar y lo que esta carrera tiene que ofrecerte.</t>
  </si>
  <si>
    <t>Qué es una comunidad virtual.
El vídeo explica la evolución del concepto de comunidad en el tiempo, definiendo el significado de comunidad virtual.
Si te ha resultado útil este vídeo, ¡SUSCRÍBETE al canal!
También puedes seguirme en:
- Twitter: https://twitter.com/neusoler
- SlideShare: http://es.slideshare.net/neuSoler</t>
  </si>
  <si>
    <t>Carlos Represa (Abogado)
La gran oferta de redes sociales y su popularidad han hecho que los hábitos de comportamiento y de interacción social se transformen. Ahora vivimos permanentemente conectados. Además de su conocida utilidad para socializar y mantener el contacto, también pueden ser una herramienta útil para favorecer el aprendizaje.
¿Quieres saber más?
¡Apúntate a nuestra Newsletter mensual! Y sé el primero en conocer nuestras novedades.
_xD83D__xDCC4_ ➡  https://www.compartirenfamilia.com/registro-newsletter
¡Suscríbete a nuestro CANAL de YouTube!
_xD83D__xDCFA_ ➡https://bit.ly/2MOYpem
 ¡No te olvides de seguirnos en redes!
Twitter ➡ https://twitter.com/compfamilia
FaceBook ➡ https://www.facebook.com/compartirfamilia/
Ivoox ➡ https://www.ivoox.com/escuchar-compartir-familia-santillana_nq_517697_1.html
#redessociales #niños #compartirenfamilia</t>
  </si>
  <si>
    <t>¿Cómo las Tecnologías de la Información y la Comunicación pueden enriquecer tu proceso de aprendizaje? En esta videolección conocerás los diferentes beneficios que trae el uso de las TIC's en tu educación. La colaboración, la libertad al compartir información y la autonomía son algunos de ellos.</t>
  </si>
  <si>
    <t>vídeo instructivo
tecnología de la información y la comunicación.</t>
  </si>
  <si>
    <t>Entrevista realizada para ExpoCityOCC, donde hablo del futuro de empleo, las carreras que tienen futuro y cómo mentalisarse para tener éxito en la actualidad.</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</si>
  <si>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El psicólogo, director de Instituto Psicológico Desconect@ y experto en adicciones a las nuevas tecnologías, Marc Masip, advierte de los peligros de la dependencia a las pantallas, que provocan problemas de sueño, de rendimiento académico y de socialización.
La propuesta de Masip  pasa por la educación en el buen uso de las pantallas y pautas como “PIVE”: pensar, intuir, vivir y evaluar dónde y qué imágenes compartimos, cómo evitar que nos perjudiquen y de qué forma podemos aprovechar lo mejor de la tecnología en la nueva era digital. 
En su libro ‘Desconecta’, Marc Masip plantea las bases de una “dieta digital” para superar nuestra elevada dependencia al móvil y mejorar nuestra relación con las pantallas. 
#AprendemosJuntos</t>
  </si>
  <si>
    <t>En la era digital la responsabilidad de los formadores es igual de real que en lo virtual. Mauricio Mosquera compartirá una mirada sobre los retos de la enseñanza en la era digital.
Mauricio es Administrador de redes de cómputo y Magister en tecnología educativa de la Universidad a Distancia de Madrid, Mauricio Mosquera es directivo educativo apasionado por buscar las posibles relaciones entre tecnología y educación.  Mauricio es un Ingeniero Informático, Administrador de redes de cómputo con estudios en tecnología educativa; además es directivo educativo apasionado por buscar las posibles relaciones entre tecnología y educación y por aprender y aportar un grano de arena en la formación de las nuevas generaciones. This talk was given at a TEDx event using the TED conference format but independently organized by a local community. Learn more at https://www.ted.com/tedx</t>
  </si>
  <si>
    <t>Su carácter sencillo, su espíritu emprendedor y aventurero le permitieron detectar las oportunidades que se le presentaron en el camino. Curioso, inteligente, y muy informado siempre creyó que todo se podía lograr con educación, esfuerzo y dedicación.
El legado de Don Calixto fue dar inicio al Grupo Romero, uno de los grupos empresariales más importantes del Perú.
Más información en
www.pqs.pe</t>
  </si>
  <si>
    <t>Producción realizada por MAZ México.
.
.
MAZ México, por sí o como cesionaria, es titular de todos los derechos de propiedad intelectual e industrial de su página web, así como de los elementos contenidos en la misma (a título enunciativo, imágenes, sonido, audio, vídeo, software o textos; marcas o logotipos, combinaciones de colores, estructura y diseño, selección de materiales usados, programas de ordenador necesarios para su funcionamiento, acceso y uso, etc.), titularidad de MAZ México o bien de sus licenciantes.
Todos los derechos reservados. Quedan expresamente prohibidas la reproducción, la distribución y la comunicación pública, incluida su modalidad de puesta a disposición, de la totalidad o parte de los contenidos de esta página web, con fines comerciales, en cualquier soporte y por cualquier medio técnico, sin la autorización de MAZ México.
El presente video es de carácter informativo sin fines de lucro.</t>
  </si>
  <si>
    <t>La educación transforma vidas cada día, y en cada rincón de la sociedad. 
En este vídeo se expone la función de la UNESCO en cuanto al liderazgo y la coordinación de la agenda Educación 2030, que forma parte de un impulso mundial para erradicar la pobreza de aquí a 2030 a través de 17 Objetivos de Desarrollo Sostenible (ODS).
Toda mujer, todo hombre y todo niño tiene derecho a la educación.
Juntos, a través de la educación, estamos desarrollando a los ciudadanos del mañana en todo el mundo para construir un futuro más sostenible.
UNESCO – Construir la paz en la mente de los hombres y de las mujeres.
www.unesco.org/education
#Education2030</t>
  </si>
  <si>
    <t>A tourism based video taking a look at one of the smallest yet most welcoming and friendly countries in the world. As Ban Ki Moon said on the 9th of September 2014 "Kuwait may be small in size, but she has a big and compassionate heart"
This video was produced by QCPTV for the Kuwait Airways Corporation In-Flight Entertainment System, to find out more about our production work please visit www.qcptv.com or email kuwait@qcptv.com. All rights reserved by QCPTV.
Director: Lawrence J. Ireton
Creative Director: Nathalie Veys
Cinematographer's: Javier Morgade &amp; Aitor Lekue
Camera Assistant: Guille M. Diez
Post-Production: Javier Morgade</t>
  </si>
  <si>
    <t>Si las empresas necesitan de una transformación digital no hay ninguna duda, pero la diferencia radica en cómo realmente cada negocio lo lleva a cabo. En esta conferencia te hablo de Transformación Digital y por qué debe tomarse muy en serio por parte de las empresas.
➡ ACCESO CURSO "Ser Exitoso en YouTube": https://www.juanmerodio.com/curso-youtube
➡ ¿Quieres que te ayude a mejorar los resultados de tu negocio con el Marketing Digital?: https://libro.10businessfactors.com/marketing-digital-inversion/
Descarga GRATIS mis libros desde mi blog: https://www.juanmerodio.com/  
_xD83D__xDECE_Recibe las notificaciones de mis nuevos videos diarios en mi canal en Telegram: https://t.me/videosjuanmerodio
_xD83D__xDECE_Whatsapp: añade este teléfono a tus contactos +34 645 75 44 53 y mándame un mensaje con la palabras ALTA (https://api.whatsapp.com/send?phone=34645754453&amp;text=ALTA)
¿Quieres mejorar tu Marketing?
NO TE PIERDAS NADA y Suscríbete a mi canal de YouTube:
https://goo.gl/QXLJZt
_xD83D__xDC19_ NOVEDAD:
¿Quieres que te ayude como asesor de tu negocio desde 20$ al mes? Elige la modalidad que más te interesa en 
https://www.patreon.com/juanmerodio
Lista de reproducción recomendada: https://www.youtube.com/playlist?list=PLqvvuvgVRZ8uxfKn_eHGNybZgRvgfon_W
Visita mi tienda online con libros y otros productos recomendados:
➜ https://www.amazon.com/shop/juanmerodio
TWITTER:
https://twitter.com/JuanMerodio
FACEBOOK:
https://www.facebook.com/JuanMerodio
INSTAGRAM:
http://instagram.com/juanmerodio
Música cabecera: https://soundcloud.com/the-spin-wires/arent-you-worried
Música cierre: https://soundcloud.com/4jonnhart/jonn-hart-feat-iamsu-who-booty
Bienvenido a mi Video-Blog, mi nuevo espacio:
- Qué hago
- Qué descubro
- En qué fallo
- Dónde estoy
- A dónde voy
- Cuál es mi filosofía de vida
- Intensidad
- Sensibilidad
- Siempre mirando hacia delante
- Mi vida emprendedora ¿Quieres conocerla?
¡Este es mi nuevo desafío!</t>
  </si>
  <si>
    <t>Conferencia dictada por Cecilia Pliego, en el marco del 13° Encuentro Estatal de Valores y Educación, organizado por la Dirección de Valores de la Secretaría de Educación Jalisco, en noviembre de 2011
Este material es utilizado como recurso didáctivo para el encuentro virtuale n valores que se realiza con el apoyo de la DGUUPNeIP, por conducto de la Coordinación de Ambientes Virtuales para el Aprendizaje.</t>
  </si>
  <si>
    <t>Lucía y Amanda viven en eterno conflicto por la rivalidad que sienten por el amor de su padre Honorato, quien a pesar de sus esfuerzos no logra que sus hijas se acepten tal como son. Y tal pareciera que la vida misma se afana en ponerles obstáculos que incrementan sus diferencias.</t>
  </si>
  <si>
    <t>HOLA QUÉ TAL MIS QUERIDOS EDUCANDOS.
En este video les muestro CÓMO HACER LA BIBLIOGRAFÍA O REFERENCIAS EN WORD SEGÚN NORMAS APA SÉPTIMA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#bibliografía #normasAPA
REDES SOCIALES
Twitter: https://www.twitter.com/Massarik79 
Página de Facebook: fb.me/Massarik2.0
Patreon: https://www.patreon.com/Massarik
Link: NORMAS APA: HACER UNA CITA TEXTUAL 40 PALABRAS O MÁS EN WORD, SÉPTIMA EDICIÓN (7ma.) PASO A PASO
https://youtu.be/eDV8IAFe0yQ
Link: CÓMO HACER UNA CITA TEXTUAL CORTA | MUESTRO EJEMPLO | NORMAS APA 
https://youtu.be/Q3AQqkyB1mY
Link: CÓMO PARAFRASEAR UN TEXTO | MUESTRO EJEMPLOS | NORMAS APA 6° EDICIÓN
https://youtu.be/DwM4nLzQKYw</t>
  </si>
  <si>
    <t>Tutorial para optimizar y acelerar tu WINDOWS 10 al máximo, gratis, sin programas, fácil y sencillo. Rendimiento al 300% asegurado
NOTA IMPORTANTE: La opción VOLVER A CERO restablecerá el equipo como si estuviese siendo formateado. Solo debe usarse en caso de que necesites instalar Windows desde cero nuevamente.
#OPTIMIZAR #ACELERAR #WINDOWS10 #2020
Google Chrome Fast - Reducir el consumo de RAM en CHROME (2020):
https://youtu.be/F2GgZ3_TVLA
Asistencia Remota contacto: Blackwolf.tier1@gmail.com
☕️ Invítanos un cafe! paypal.me/MrClipChannel (Done Ahora! )
☕️ Buy us a coffee: paypal.me/MrClipChannel (Donate Now!)
Suscríbete es GRATIS! / Subscribe is FREE!
https://www.youtube.com/channel/UCvc_GOhLAbrhs6kVlERO-qQ?sub_confirmation=1
Síguenos en / follow us on:
Facebook: http://fb.me/mrclipoficial
Twitter: @MrClipOficial
Instagram: @cmontesv
#MrClipOficial #MrClip
%temp%
temp
prefetch
eventvwr
optimizar pc
programa para optimizar pc gratis
como limpiar mi pc sin programas
como acelerar mi pc
como limpiar optimizar y acelerar mi pc sin programas para windows 10 8 y 7 parte 2
como optimizar mi pc windows 10
como limpiar mi pc windows 10
como acelerar mi pc windows 7
como acelerar mi pc windows 7
mi pc esta muy lenta windows 10
mi pc esta muy lenta windows 7
windows 10 lento despues de actualizar
como acelerar mi pc windows 8
como aumentar la velocidad de mi pc windows 7
ccleaner pc
optimizador de pc 2019
programa para optimizar pc gratis
slimcleaner
winutilities free
winoptimizer
como limpiar mi pc de archivos basura
total pc cleaner
eliminar archivos basura con ejecutar
como limpiar mi pc por dentro
limpiar pc de virus
como limpiar mi computadora por fuera
optimizacion de mi laptop
optimizar laptop al maximo
pasos para optimizar pc
como tener mi computadora al 100
como optimizar la lap
como optimizar mi pc laptop
como buscar archivos basura en mi pc
limpiar pc sin programas windows 8
acelerar pc con cmd
optimizar registro windows 7
limpiar registro de windows sin programas
como acelerar mi pc windows 10
como acelerar mi pc con cmd
acelerar pc programa
acelerar el arranque de mi pc
cloud system booster
wise disk cleaner descargar
como acelerar mi pc windows 7
mi pc esta muy lenta windows 10
mi pc esta muy lenta windows 7
windows 10 lento despues de actualizar
como acelerar mi pc windows 8
como aumentar la velocidad de mi pc windows 7
ccleaner pc
optimizador de pc 2019
programa para optimizar pc gratis
slimcleaner
winutilities free
winoptimizer
como limpiar mi pc de archivos basura
total pc cleaner
eliminar archivos basura con ejecutar
como limpiar mi pc por dentro
limpiar pc de virus
como limpiar mi computadora por fuera
optimizacion de mi laptop
optimizar laptop al maximo
pasos para optimizar pc
como tener mi computadora al 100
como optimizar la lap
como optimizar mi pc laptop
como buscar archivos basura en mi pc
limpiar pc sin programas windows 8
acelerar pc con cmd
optimizar registro windows 7
limpiar registro de windows sin programas
como acelerar mi pc windows 10
como acelerar mi pc con cmd
acelerar pc programa
acelerar el arranque de mi pc
cloud system booster
windows fast
OPTIMIZAR Y ACELERAR PC con Windows 10 al Máximo sin programas</t>
  </si>
  <si>
    <t>#chinesedrama #hotdrama 
"Las ecuaciones del amor"  (THE LOVE EQUATIONS Subtitulada al español)
PROTAGONIZADA POR: 
Liu Ren Yu, Simon Gong, Li Ge Yang, Julio Wan Yan, An Yong Chang. 
"Las ecuaciones del amor", es una historia de romance universitario.
Zhou Xia quien es aficionada a escribir novelas criminales y de misterio en línea, busca inspiración en la medicina forense, en donde conoce a Zhao Fan Zhou un chico frío y popular que continuamente la ayuda en toda la clase de problemas. Conoce las idas y vueltas que puede tener una dulce historia de amor.
★ Bienvenidos a suscribirse a nuestros canales oficiales ★
☞腾讯视频(Tencent Video): http://bit.ly/wetvnew
☞创造营 CHUANG2020: http://bit.ly/chuang2020
☞WeTV 台灣: http://bit.ly/wetvtw
☞WeTV Thailand: http://bit.ly/wetvthaisub
☞WeTV Indonesia: http://bit.ly/wetvinsub
☞WeTV Vietnam: http://bit.ly/wetvvisub
☞WeTV Arabic: http://bit.ly/wetvarab
☞WeTV English: http://bit.ly/wetveng
☞WeTV Spanish: http://bit.ly/wetvesp
☞WeTV Korea: http://bit.ly/wetvkr</t>
  </si>
  <si>
    <t>Curso: https://www.udemy.com/como-ensenar-a-leer-a-tu-hijo/?couponCode=leerbpag6010 Síguenos por Facebook: https://www.facebook.com/EducarALosHijos
Un consejo sencillo para ayudar y motivar a tu hijo a aprender a leer. Edad sugerida: para niños de 3 a 6 años. Para el sonido de las letras ver: http://www.youtube.com/watch?v=euNHuuQqP6U&amp;feature=youtu.be 
Para una información más amplia sobre el mismo tema, con más ejercicios de estimulación a la lectura: http://educaraloshijos.com/cursolectura</t>
  </si>
  <si>
    <t>Módulo I Alfabetización digital para un ambiente virtual, en  este se explica algunos de los temas  a  trabajar  en este  módulo.</t>
  </si>
  <si>
    <t>#UCV
_xD83C__xDF10_ Visita nuestra web:  http://www.ucv.edu.pe/
¡Síguenos en nuestras redes sociales!
➡ Facebook: www.fb.com/UCV.Peru
➡Twitter: www.twitter.com/UCV_Peru
➡ Instagram: www.instagram.com/ucv_peru</t>
  </si>
  <si>
    <t>Ángel Londoño, Asociado a JFK Cooperativa Financiera, nos cuenta de las acciones que realiza junto a la Cooperativa para el cuidado del medio ambiente.</t>
  </si>
  <si>
    <t>Como hacer un Ensayo en Word.  Crear , elaborar, realizar un ensayo paso a paso 2017
Descargar Material Utilizado:
https://mega.nz/#!psdEXKLb!OLKmYa4257xFdFfBx9OgcIriQNrBbmSlg3yoKJOSkqQ
Suscríbete: https://www.youtube.com/c/ElTíoTech?sub_confirmation=1
Síguenos en las Redes Sociales: 
Facebook: https://www.facebook.com/eltiotechh/
Instagram: https://www.instagram.com/luismiguelvelavela/</t>
  </si>
  <si>
    <t>El uso de energías renovables, de energía solar, desplazarte a tu lugar de trabajo en bicicleta o en patineta eléctrica, son alternativas que ayudan a cuidar nuestro planeta.</t>
  </si>
  <si>
    <t>En este video encontrarás estrategias para abordar el aprendizaje de la lectoescritura de una forma efectiva. Primero, debemos recordar que cada alumno es diferente y que al hablar de la lectoescritura, debemos tomar en cuenta la madurez que él o ella tengan y también que, ¡entre más divertidos estén nuestros alumnos, mayor será su aprendizaje!
Bibliografía:
Castillo, C., Flores, M.C., Rodao, F., Muñiz, M.L., Rodríguez, J. &amp;amp; Unturbe, J. (1978). Educación
Preescolar: Métodos, técnicas y organización. Ediciones CEAC, Barcelona.</t>
  </si>
  <si>
    <t>Esta micreolección producida por el Programa Todos a Aprender 2.0 y el CIER Centro, tiene como objetivo utilizar de manipulativos para promover la ejercitación de habilidades de lenguaje y generar espacios de verificación de aprendizajes a través del trabajo cooperativo y la motivación.</t>
  </si>
  <si>
    <t>La psicóloga Ángela María Tangarife, nos habla de los retos a los que nos enfrentamos al volver a nuestras labores presenciales, después de meses de trabajo en casa.</t>
  </si>
  <si>
    <t>La Cooperativa entrega a sus ahorradores, asociados y clientes su nueva Tarjeta Débito Afinidad JFK, con la que podrán contar con su dinero disponible, realizar compras en tiendas físicas, en línea y pagos por el botón PSE. Ingresa a www.jfk.com.co y descubre los beneficios.</t>
  </si>
  <si>
    <t>Con la incorporación de las Tecnologías de la Información y la Comunicación a nuestra vida cotidiana y los cambios que se han generado en las maneras en las que nos informamos, educamos, socializamos y trabajamos, surge lo que se conoce como: ciudadanía digital, la cual ha generado derechos y obligaciones que permiten a las personas acceder, usar, crear y publicar con libertad en medios digitales. 
Es importante mencionar que ejercer la ciudadanía digital implica –además de hacerlo en un marco de respeto–, identificar, localizar, recuperar, almacenar, organizar y analizar con una mirada crítica la información digital, así como comunicar en entornos digitales, compartir conocimientos en línea y colaborar con otros a través de la red; generar medidas de protección personal de datos e identidad digital, y detectar necesidades de interconexión para elegir las herramientas apropiadas.
Síguenos en:
http://www.facebook.com/CanalOnceTV
http://www.twitter.com/CanalOnceTV
https://www.instagram.com/canaloncetv/
http://www.canalonce.mx</t>
  </si>
  <si>
    <t>En Amco nos preocupamos por educar niños felices, de ahí la importancia de que el proceso para lograrlo sea divertido y de provecho para ellos. Platicamos con un experto y nos dio estos consejos para ti, ¡síguelos y alcanza tu objetivo!</t>
  </si>
  <si>
    <t>El cantante vallenato Hebert Vargas ha sido uno de de los grandes artistas invitados a nuestros conciertos virtuales. Programación especial pensada para acompañarte, mientras te cuidas.</t>
  </si>
  <si>
    <t>A medida que se digitalizan las aulas, los docentes se enfrentan a unas demandas cada vez mayores en esta materia. Hemos hablado en varias ocasiones de las competencias que los menores necesitan adquirir de cara a la vida adulta y la inminente sociedad digital, pero una parte importante de este aprendizaje viene inevitablemente de la escuela. Por eso es necesario que el profesorado tenga unos conocimientos avanzados en diferentes áreas.
¿Cuáles son, entonces, esas competencias digitales que debe tener el profesorado? Una buena referencia es DigComEdu, el marco europeo que establece 6 competencias básicas para educadores.
Esta iniciativa se dirige a todos los niveles educativos, desde infantil a educación superior, incluida la formación general y profesional, la educación para las necesidades especiales y los contextos de aprendizaje no formales.
Su objetivo es proporcionar un marco de referencia a gobiernos y organismos nacionales y regionales, las organizaciones educativas, los proveedores de formación profesional y los propios educadores.
DigComEdu consta de seis áreas de competencia digital docentes. Todas ellas son las que los educadores deben poseer para fomentar las estrategias de aprendizajes efectivas, inclusivas e innovadoras, utilizando herramientas digitales.
DigComEdu Segureskola competencia digital docente
Entorno profesional
Utilizar las tecnologías para mejorar la comunicación con el alumnado, familias y terceros. Contribuyendo a desarrollar y mejorar las estrategias organizativas.
Utilizar las tecnologías para colaborar con otros educadores, compartiendo conocimientos y experiencias y lograr, así, la innovación pedagógica.
Recursos digitales
Identificar, evaluar y seleccionar recursos digitales valiosos para la enseñanza y el aprendizaje.
Modificar recursos existentes de código o licencia abierta para crear nuevos recursos educativos.
Organizar contenidos digitales y ponerlos a disposición del alumnado, padres y madres, o educadores. Respetar las normas de privacidad y derechos de autor.
Pedagogía digital
Integrar dispositivos y recursos digitales en el proceso de enseñanza. Experimentar y desarrollar nuevos formatos o métodos pedagógicos.
Utilizar herramientas y servicios digitales para mejorar la interacción con los estudiantes, ofreciendo orientación y asistencia en los momentos necesarios.
Utilizar las tecnologías digitales como base para el intercambio colaborativo en grupo, como medio para presentar resultados…
Utilizar las tecnologías digitales para apoyar el aprendizaje auto-dirigido. Es decir, que los estudiantes planifiquen, supervisen y reflexionen sobre su propio aprendizaje y progreso.
Evaluación y retroalimentación
Utilizar herramientas digitales para la evaluación.
Generar, seleccionar, analizar e interpretar la actividad digital, el rendimiento y el progreso del alumnado, con el fin de informar.
Utilizar herramientas digitales para ofrecer al alumnado una retroalimentación. Proporcionar apoyo orientado y ayudarles a tomar las decisiones adecuadas.
Empoderar al alumnado
Asegurar una completa accesibilidad a los recursos y actividades de aprendizaje. Cumplir las expectativas digitales del alumnado en cuanto a sus habilidades, ideas erróneas…
Utilizar las diversas herramientas digitales para atender las necesidades particulares de cada alumno permitiendo a los estudiantes avanzar a diferentes velocidades hacia objetivos de aprendizaje individuales.
Lograr el compromiso activo y creativo del alumnado a partir de las herramientas digitales. Fomentando las competencias trasversales y abriendo el aprendizaje a contextos del mundo real.
Facilitar competencias digitales al alumnado
Incorporar actividades de aprendizaje donde el alumnado articule sus necesidades de información, buscándola en entornos digitales y aprendiendo a comparar, evaluar, analizar…
Enseñar al alumnado a utilizar las herramientas digitales para la comunicación, colaboración y participación cívica.
Enseñar al alumnado a aplicar los derechos de autor y licencias en el ámbito digital. Creando contenidos digitales en diferentes formatos.
Asegurar el bienestar físico, psicológico y social del alumnado cuando usen las tecnologías digitales. Enseñándoles a manejar los riesgos.
Enseñar al alumnado a identificar y resolver problemas técnicos o a transferir creativamente conocimientos tecnológicos a nuevas situaciones.
Los educadores deben conocer en profundidad el mundo digital no solo para aprovechar sus ventajas sino para educar a sus alumnos y alumnas en el buen uso del mismo. En esa línea está Segureskola, una iniciativa que lleva la educación digital a los colegios y trabaja conjuntamente con el alumnado, profesorado y familias.
http://www.segureskola.com</t>
  </si>
  <si>
    <t>Renato Zambrano Cruz, psicólogo y y doctor en Ciencias Cognitivas, nos habla sobre los retos que deben asumir los niños durante la pandemia y cómo debemos aprender de ellos los adultos.</t>
  </si>
  <si>
    <t>Video de la presentación general del curso Literacidad Digital del Área de Formación Básica General de la Universidad Veracruzana</t>
  </si>
  <si>
    <t>UBICADO A 24 KM DE CAMANA POR EL RÍO CAMANA
SONAY Y CHARACTA
EL VALLE
EN EL DISTRITO DE NICOLAS DE PIEROLA</t>
  </si>
  <si>
    <t>PROGRAMA PRESUPUESTAL LOGROS DE APRENDIZAJE DE LOS ESTUDIANTES DE LA EBR</t>
  </si>
  <si>
    <t>El monitoreo o acompañamiento pedagógico es la estrategia más pertinente para la mejora continua de la práctica pedagógica, quedaron atrás las supervisiones...</t>
  </si>
  <si>
    <t>Redes
Instagram del canal:
https://www.instagram.com/dgof01/  
Instagram personal:
https://www.instagram.com/__dgvg/
Twitter:
https://twitter.com/DGof01
Facebook:
https://www.facebook.com/dgof01/
Contacto 
dgof0115@gmail.com 
Créditos 
-Música 
Canción: Pimp Cup - I.N.Kognito   
                 Consideration-Low-Frequency
                 Good-Day-Low-Frequency
                 Kamikaze-Rabbit-Midnight-drive
                 Lah-di-da-lofi-hip-hop
-Videos
https://www.pexels.com
https://www.videvo.net/
ar-example
ARQuake (2000) - First mobile
Civilisations AR
Cracker Jack uses Augmented Reality to bring a new in-pack prize to fans!
Discovery Channel Beyond 2000 Wearable Computer
Google Tango Sketch AR - Monitise MEA Demo
GPS for Ingress
Ikea Place - App de Realidad Aumentada para el iPad - TECHcetera
Microsoft HoloLens demo onstage at BUILD 2015
MMA Smarties Awards 2018 - BBVA Valora View
Morton Heilig's Sensorama (Interview)
Myron Krueger - Videoplace, Responsive
PlayStation4 Playroom Toy Maker
Realidad Aumentada (AR), el futuro en tus manos
Short Pokémon Go shiny compilation!
skycam
smoothcriminal
Sword of Damocles (1966) - First augmented reality
Tech Closeup 
Total Immersion Large Scale
trick eye museum México CDMX
Unboxing Google Glass Enterprise Edition
videoplace
Volkswagen MARTA
vr-example
Workplace of the future- How will you work in 2030 I JLL
worldwikitudebrowser
YouCam Makeup
-Fuentes de información
https://proyectoidis.org/sensorama/
https://proyectoidis.org/videoplace/
19141-71787-1-PB.pdf
https://www.neosentec.com/realidad-aumentada/
https://www.xatakandroid.com/mundogalaxy/wearable-computing-todo-lo-que-hay-saber-sobre-tecnologias-para-llevar-puestas
https://www.marsdd.com/news/steve-mann-augmented-reality-meta-we-are-wearables/
https://www.sysbunny.com/blog/the-birth-and-juvenility-of-augmented-reality/
https://www.google.com/search?client=firefox-b-d&amp;q=wereable+computing
https://es.m.wikipedia.org/wiki/Realidad_aumentada#Or%C3%ADgenes
Tags:
YouTubers VS Realidad Virtual. Ep 1 Bienvenidos al futuro 
UNA NOVIA EN REALIDAD VIRTUAL ! INCREIBLE (HTC VIVE) - ElChurches 
ATAQUE DE UN TIBURON EN REALIDAD VIRTUAL!! - Lenay
Montaña rusa/VIXXOKING/VR 
MAESTRO JEDI en REALIDAD VIRTUAL (PlayStation VR)
CUIDADO CON EL PAYASO!! - IT: Realidad Virtual | Fernanfloo 
Realidad Virtual | Historia, evolución y futuro 
Antecedentes de la Realidad virtual 
HISTORIA DE LA REALIDAD VIRTUAL
Top 5: Los mejores usos para la realidad aumentad
crea REALIDAD AUMENTADA en minutos Adobe Aero Tutoria
Apps en AR [Realidad Aumentada] @japonto
COMO HACER REALIDAD AUMENTADA [FACIL] 
Que es la Realidad Virtual y Realidad Aumentada 
D Todo - Museo de Realidad Aumentada (02/05/2019) 
Creando realidad aumentada con la herramienta Blippar</t>
  </si>
  <si>
    <t>Superar la Evaluación Diagnóstica Formativa implica mucho más que simplemente grabarse en una clase, que  sus estudiantes aprendan significativamente o que usted  tenga reputación de buen docente entre sus colegas.
Superar esta evaluación implica que durante los 40 minutos de la clase grabada usted deje en clara evidencia  y de forma NATURAL los 22 aspectos que le evaluarán.
Así que  usted dispone de 40 minutos para hacer una clase donde  convenza a sus pares evaluadores que usted no solo entiende cada aspecto sino que los aplica  en su clase. 
Para lograrlo, usted debe conocer con todo detalle cada aspecto, debe haberse preguntado las implicaciones y la relación de cada uno con los estándares del MEN y debe diseñar con anticipación como hará para que cada uno de esos 22 aspectos sean claramente visibles durante la clase. 
Nuestro curso completo ha sido diseñado para llevarlo paso a paso en ese propósito.
Para conocer los detalles ingrese a 
http://concursodocente.grupogeard.com/curso-evaluacion-de-caracter-diagnostico-formativa-ascenso-y-reubicacion-docentes-1278#matricula</t>
  </si>
  <si>
    <t>Les presento un video en donde se explica como hacer una planeación de un proyecto formativo, tomando en cuenta ejes que la socioformación nos propone. 
Espero y les sea de mucha ayuda y lo apliquen con sus alumnos.
comentarios chick134@hotmail.com</t>
  </si>
  <si>
    <t>Define que es el Monitoreo y Acompañamiento, como debemos monitorear y acompañar los Directivos, como organizarnos, que monitorear y que estrategias utilizamos para el monitoreo y acompañamiento del docente en aula.</t>
  </si>
  <si>
    <t>Definición de Multimedia</t>
  </si>
  <si>
    <t>Buenas, en el presente tutorial, podrás ver como hacer uso a las funciones básicas en la creación de recursos utilizando Exelearning, abarcando incluso la exportación de recursos en formato Web y difusión por otros medios.</t>
  </si>
  <si>
    <t>Bibliotecas, TIC y nuevas alfabetizaciones en la sociedad digital, videoconferencia por  Manuel Area Moreira (Universidad de La Laguna, España). Encuentro Nacional de Bibliotecas Universitarias. Alfabetización informacional: reflexiones y experiencias, 20 y 21 de marzo de 2014 (Lima-Perú). Consorcio de Universidades: Pontificia Universidad Católica del Perú, Universidad Peruana Cayetano Heredia, Universidad del Pacífico y Universidad de Lima).</t>
  </si>
  <si>
    <t>This event explores a pressing challenge for higher education institutions across the world: advancing digital literacy among students and faculty. As technology use is proliferating and becoming more ubiquitous in people’s daily lives, colleges and universities have become more adept at integrating it into every facet of campus life to enhance course design, course materials, and interactions between learners and educators. However, simply knowing how to use the tools does not solve the challenge. Education professionals must be able to tie the use of digital tools to progressive pedagogies and deeper learning outcomes to equip students with 21st century skills that help them flourish in college life and in their careers. Identifying and implementing effective frameworks is paramount, and a number of organizations and institutions are leading the way. Hear from an international panel of experts on their perspectives on digital literacy, the biggest challenges associated with advancing it, and recommendations for developing successful digital literacy initiatives.</t>
  </si>
  <si>
    <t>¿Quieres pertenecer al mundo del comercio electrónico? 
Actualmente el Comercio Electrónico representa entre el 5% y 10% de las ventas totales en el mundo y este tipo de comercio tiene muchas ventajas, por ejemplo; es más fácil comparar precios y productos, puedes hacer ventas internacionales, lo que significa que no te limitas a clientes locales pero iniciar este tipo de negocio, es importante que también conozcas las desventajas o dificultades con las que te podrías topar, como los fraudes, dificultades tecnológicas, costos de envío, etc. 
Si eres nuevo en el mundo del comercio exterior o te interesa este tema, te invitamos a nuestros cursos y capacitaciones 
http://www.incea.org.mx/cursos-empresariales
Recuerda que también capacitamos al personal de tu empresa, pide más información en los comentarios.
Pide más información en los comentarios o comunícate con nosotros al al: (01) 55 53 50 17 25
WhatsApp: 55 65 9430 02
O envía un correo a info@incea.org.mx
¿Eres de Perú, Venezuela, Colombia y te interesaría saber más del comercio exterior? 
¡No te preocupes! Tenemos cursos de Importación y Exportación Online
http://www.comercioyaduanas.com.mx/cursos/cursos-online
Búsquedas relacionadas 
- ¿Qué es el comercio electrónico? 
- ¿Cómo funciona el comercio electrónico? 
- ¿Cómo hacer comercio electrónico?
- Riesgos del comercio electrónico</t>
  </si>
  <si>
    <t>Brecha digital ¿una nueva forma de exclusión social?</t>
  </si>
  <si>
    <t>Video realizado para la materia Tecnología Educativa de la Carrera Profesorado en Ciencias de la Educación de la UNSa.</t>
  </si>
  <si>
    <t>#Criteriosdeevaluacion #Didáctica #Pedagogía #Educación   #Evaluacion #instrumentosdeevaluacion #evaluacionformativa #educacionadistancia
Criterio de  evaluación “ Son el referente específico  para el juicio de valor  sobre el nivel de desarrollo  de las competencias , describen las características  o   cualidades de aquello  que  se quiere valorar y que deben  demostrar los estudiantes  en sus actuaciones  ante una situación en un contexto determinado.”
RVM N° 094 -2020- MINEDU Pág. 6</t>
  </si>
  <si>
    <t>ESTE ES UN  VÍDEO EL CUAL REPRESENTA LO QUE ES UN TRABAJO COLABORATIVO DEFINIENDOLO , DESCRIBIENDO CARACTERÍSTICAS  , AGREGANDO PUNTOS IMPORTANTES E INCORPORANDO UNA CONCLUSIÓN ESPERO QUE SEA DE UTILIDAD</t>
  </si>
  <si>
    <t>Primer Video en el cual Les Enseñare a como familiarizarce con una computadora y los pasos y conceptos escenciales, esta es una version de prueba, fue grabada rapidamente por lo que habra que esperar una version remasterizada del mismo video, saludos y muchas gracias
Recuerden dar Like si les gusto el video
Siganme en mi Canal y entren a mi Pagina Web: http://www.rednatura31.tk</t>
  </si>
  <si>
    <t>germinacion de un frijol, elaborado con fotografias aprox 7,900 durante dos semanas, 1 foto cada minuto.</t>
  </si>
  <si>
    <t>En este vídeo se presenta el marco de competencias digitales DigComp. Es el complemento a las actividades propuestas para desarrollar las competencias digitales en el aula. Más información en https://ethazi.tknika.eus/es/competencias-digitales/</t>
  </si>
  <si>
    <t>Fernando Trujillo analiza los diferentes criterios de evaluación del currículo, de los más rígidos a los más flexibles.
Los criterios flexibles están intimamente ligados al concepto de "leer para hacer".</t>
  </si>
  <si>
    <t>El INFoD presenta el Episodio 11 de la serie de podcasts ilustrados "Educadores y educadoras que hicieron escuela", realizada con el apoyo de la Organización de los Estados Americanos (OEA).
Episodio 11: Homenaje Berta Braslavsky
Escuchá #PodcastsIlustrados también en Spotify _xD83D__xDC49_https://spoti.fi/3puf2OL
Producción general: Nicolás Arata y Eva Fontdevila
Producción ejecutiva, guión y narración: Diego Zambelli
Producción: Luciana Mollard
Locución y acting: Florencia Lema
Ilustración: Gabriel Ramírez
Edición  de sonido: Julián Duarte
Edición de video: Belén Sperinde
Texto original y contenido académico: Ana Diamant</t>
  </si>
  <si>
    <t>La Revolución Digital se ha instalado en nuestra vida y la ha cambiado por completo. 
Sin embargo, ha venido sin manual de instrucciones.  La manera en la que nos relacionamos con la tecnología es ya un legado insostenible. 
Adicción al móvil, problemas emocionales derivados del uso de Redes Sociales, desconexión del entorno y trastornos del sueño son cada día más y más frecuentes.
El avance tecnológico es un regalo y el reto es convertirlo en nuestro aliado y aprender a disfrutarlo.
¿Cómo tomamos las riendas entonces?
La respuesta: Educación Digital
The Digital Revolution has arrived to our lives and change them  completely.
However, it has come without any instruction manual. The way we are living today with the  technology is already an unsustainable legacy.
Phone addiction, emotional problems caused by the use of Social Media, the disconnection from the environment and sleeping disorders are becoming more and more frequent.
Technological development is a gift and our challenge is to make it our friend and to learn how to enjoy it
So, how we can take control of that?
The answer is: Digital Education
 Licenciada en Comunicación Social (UCAB), MA Marketing Management (University of Westminster), actualmente cursando Master en Market Access al sector Salud (MPG-UCAM) y Módulo de creación de Capacidad para Liderazgo de Empoderamiento y Gobernanza Positiva (Becada por el Foro Europeo de Pacientes- EPF). 
Apasionada por la comunicación en medicina y salud. Su especialidad son los temas de salud infantil, digestivo, nutrición y hepatología. Trabajó en la Federación Española de Enfermedades Raras (FEDER).
Apoya y promueve el interés sobre el Síndrome de Alagille (ALGS). Miembro de la Junta Directiva de la Asociación Deporte y Trasplante Madrid desde donde se promueve el trabajo conjunto entre asociaciones de pacientes trasplantados. This talk was given at a TEDx event using the TED conference format but independently organized by a local community. Learn more at https://www.ted.com/tedx</t>
  </si>
  <si>
    <t>La irrupción de las nuevas tecnologías obliga a reformular los mecanismos jurídicos de protección de los derechos fundamentales de las personas. Juez magistrado de la Audiencia Nacional. Doctor en Derecho con una tesis pionera en la investigación de los delitos informáticos, Eloy es uno de los mayores expertos en cibercrimen de España. This talk was given at a TEDx event using the TED conference format but independently organized by a local community. Learn more at https://www.ted.com/tedx</t>
  </si>
  <si>
    <t>El nivel de ingresos, el aprovechamiento educativo, edad, etnicidad y género, son algunas de las variables estructurales que intervienen en la brecha digital.</t>
  </si>
  <si>
    <t>Werken Digital 4° Básico _xD83D__xDCBB_</t>
  </si>
  <si>
    <t>INTRODUCCION A LA COMPETENCIA DIGITAL - EXAMEN DE ENTRADA</t>
  </si>
  <si>
    <t>Video elaborado por Haylín Boettner para el Taller de Herramientas 2.0 para profesores y traductores.
Instituto Superior San Bartolomé
Rosario, Argentina
2012</t>
  </si>
  <si>
    <t>Vídeo en el que se da respuesta a las preguntas: ¿Qué es el Marketing Digital?, ¿cuál es su principal función?, ¿cuáles son sus herramientas principales?, ¿qué son los medios digitales?, entre otras respuestas relacionadas con el tema... 
Para leer el artículo completo "Qué es Marketing Digital" utilizar la siguiente URL: http://marketingintensivo.com/articulos-marketing/que-es-el-marketing-digital.html
Elaborado por: Ivan Thompson</t>
  </si>
  <si>
    <t>“Alfabetización digital y el futuro de la educación”
¿Cómo generamos una alfabetización mediática en niños y jóvenes?
En una sociedad donde pasamos gran parte del tiempo frente a pantallas resulta clave preguntarse y reflexionar acerca de las maneras a través de las cuáles podemos generar una alfabetización mediática en niños y jóvenes. Invitado por CIPPEC el investigador y escritor británico David Buckingham disertará sobre la temática, el rol que deben ocupar los distintos actores involucrados. 
David Buckingham es investigador y escritor británico especializado en jóvenes, educación y medios de comunicación, ha dirigido más de 25 proyectos vinculados a estas temáticas y ha sido consultor para el gobierno británico, y organizaciones como UNESCO, Unicef, entre otras. Autor y coautor de más de 30 libros, profesor invitado en Universidades de Reino Unido, Estados Unidos, Australia, Hong Kong, Noruega y Sudáfrica, ha sido conferencista en más de 35 países alrededor del mundo.</t>
  </si>
  <si>
    <t>MOOC - Poténciate con redes sociales - Módulo 1. Privacidad y seguridad digital 
 Vídeo disponible en: https://tv.urjc.es/video/5b337c1fd68b14133a8b456d</t>
  </si>
  <si>
    <t>Definición de Word.
Como iniciar Word. 
Insertar Texto.
Grabar Documento.</t>
  </si>
  <si>
    <t>Aquí os presentamos algunos consejos exposición pública y defensa del TFG. Cómo hacer una buena presentación, cómo hacer una buena defensa y algunas sugerencias para el día de la presentación.</t>
  </si>
  <si>
    <t>Entra en http://one.elpais.com 
Suscríbete a nuestro canal de youtube: http://bit.ly/1JHCOQ1
Síguenos en Facebook: https://www.facebook.com/elfuturoesone
Síguenos en Twitter: http://www.twitter.com/elfuturoesone
Además de un brillante físico teórico, referente mundial en astrofísica y apasionado divulgador científico, Stephen Hawking es un ejemplo de superación personal que ha servido, y sirve, como inspiración a millones de afectados por la ELA en todo el mundo. Tanto que su historia personal y su lucha por sobreponerse a la enfermedad, paralela a sus descubrimientos científicos, fue llevada a la pantalla el pasado año en “La teoría del todo” (Oscar al mejor actor para Eddie Redmayne). El británico es un icono que se ha interpretado a sí mismo en capítulos de Los Simpson y Futurama y ha protagonizado spots publicitarios y numerosos sketches, mostrando un hilarante sentido del humor. Hawking es, en definitiva, un personaje que ha trascendido la ciencia y la monótona vida que se le supone a un catedrático de la universidad de Cambridge.
Pero si la historia de Hawking es de sobra conocida, lo es menos cómo más de una década después de perder la capacidad de hablar en 1985 a causa de una neumonía que casi le causa la muerte, Intel se comprometió a que el físico pudiera continuar comunicándose hasta el fin de sus días. Fue en 1997, cuando Gordon Moore, cofundador de la compañía, le aseguró soporte técnico para siempre. Desde entonces la empresa se ha ocupado de adaptar y actualizar los equipos y el software que ponen voz a los pensamientos del científico. Una voz robótica que ya es tan reconocible como la propia figura de Hawking.
La responsable de que sus palabras sigan llegando hasta nosotros en la actualidad es Lama Nachman, directora del Experience Technology Lab de Intel. Su trabajo consiste en conseguir que Stephen Hawking, a pesar de sus limitadísimas capacidades motoras, pueda manejar el ordenador que siempre le acompaña. La plataforma diseñada por el equipo de Nachman se denomina ACAT e incorpora sensores de velocidad, acelerómetros, una cámara 3D y un software de predicción de palabras muy sofisticado que reduce las pulsaciones necesarias para escribir. Además Intel ha decidido abrir su código, por lo que todos los desarrolladores del mundo pueden incorporar nuevos elementos. Un ejemplo de trabajo colaborativo para hacer mejor la vida de las personas con discapacidad y conseguir que, tal y como se escuchaba al propio Hawking afirmar en la canción de Pink Floyd, puedan “seguir hablando”.
#elfuturoesone</t>
  </si>
  <si>
    <t>Suscribe Trabajar Desde Casa ► http://bit.ly/1TlRBFs
2ª Parte ► http://bit.ly/2tu2cUo
Instagram► http://bit.ly/2caGdgi
Facebook ► http://on.fb.me/1PIDC5n
Suscribe Activo Financiero► http://bit.ly/255FWgm
Visita► http://trabajardesdecasasi.com
Cómo crear activos sin dinero, como crear dinero de la nada. Son muchos los suscriptores que me preguntan si existe la posibilidad de generar ingresos sin inversión inicial... la repuesta es si. En el vídeo que verás a continuación te presento 3 ideas de negocios que generan ingresos pasivos y que no requieres capital para empezar a invertir.
**Links de interés: http://trabajardesdecasasi.com/crear-activos-sin-dinero/ 
**2ª Parte ► http://bit.ly/2tu2cUo
Newsletter ► http://bit.ly/1H5pjTK
Facebook ► http://on.fb.me/1PIDC5n
G+ ► http://bit.ly/1JKYlDJ
Vídeos imprescindibles
Empezar a Ganar Dinero ► http://bit.ly/1FgrXZT
Educación Financiera ► http://bit.ly/1IAGe6p 
Estilo de Vida ► http://bit.ly/1H5pYo9
Coaching/Productividad ► http://bit.ly/1E7smZo
Últimos Vídeos ► http://bit.ly/1H5q9jg</t>
  </si>
  <si>
    <t xml:space="preserve">Objetivo general: 
Desarrollar bases sólidas en inicio del proceso de la lectura a través de una herramienta interactiva donde el estudiante podrá interactuar viendo, escuchando y analizando el lenguaje oral y escrito, fortaleciendo las estrategias de enseñanza en el inicio de la lectura, brindando ayudas pedagógicas que permiten utilizar este mismo método en el aprendizaje de un segundo idioma. 
Objetivos Específicos: 
• Enseñar al estudiante un método fonético mediante el cual los sonidos se convierten en letras o grafemas y viceversa.
• Que el estudiante lea con fluidez usando un fraseo apropiado con precisión y comprendiendo el texto en su totalidad.
Objetivos integrados 
• Secuencia de las letras del alfabeto.
• Usar el conocimiento fonológico para que coincida con los sonidos de las letras.
• Reconocer los sonidos de las letras 
• Producir el sonido correcto de las letras.
• Identificar las sílabas en las palabras. 
• Combinar sílabas en palabras. 
• Combinar palabras para formar palabras compuestas. 
• Eliminación de una sílaba de una palabra.
• Reconocer el cambio de una palabra cuando se añade una sílaba o fonema especificado, cambia o elimina (por ejemplo, "ma-lo" que "ma-sa", "to-mo a" - "co-mo").  
• Utilice puntuación al final de una frase en escritura compartida.
• Identificar todas las letras mayúsculas y minúsculas.  
Title of work: Aprendamos con Luchin
Author: Luis Carlos Ordonez
Author Created: Text, translation, compilation, editing, computer program, artwork.
Copyright 2009 Luis Ordonez. 
All Rights Reserved
</t>
  </si>
  <si>
    <t>Introduccon a la Macroeconoma
Expreso de manera digital pensamientos que son fruto de una rigurosa busqueda de la "mejora contínua". Me capacito para dar lo mejor y deseo compartir junto a ustedes una experiencia que nos permita mejorar como personas en sociedad.
Temas relacionados:
MACROECONOMIA
ECONOMIA
MICROECONOMIA
Cuentas Nacionales
Tipos de Cambio
PIB y los tipos de cambio
Tipo de Cambio Real
Tipo de Cambio Nominal
Hoy nos enfocamos en el concepto inicial de Macroeconomia, distinción con la Micro, cuales son sus objetivos y los instrumentos que utiliza para crear los modelos. Son conceptos que si los tenemos claros nos puede ayudar a interpretar la realidad de algunas variables económicas y actuar en consecuencia en forma racional para mejorar la economia de nuestro bolsillo.
SUSCRIBETE AL CANAL: http://bit.ly/2oaLTfP
/// RECURSOS ///
☛  BONUS #1: ACCEDÉ A 19 INFORMES SIN CARGO: http://estudioinmobidiario.com/mercado-en-3-minutos/
☛  BONUS #2: MIS VIDEOS MÁS VISITADOS: http://estudioinmobidiario.com/
--------------- Resumen del video -----------------------
El  ciclo económico es un concepto que nos sirve para conocer en que fase del ciclo se encuentra la economia de un pais para poder actuar en consecuencia. Asimismo relacionamos oferta, demanda, inflación y recursos de la producción: tierra, trabajo y capital.
De todas formas te recomiendo que visites mi blog para complementar la info y estoy seguro te ayudará mucho: http://estudioinmobidiario.com
Nos vemos en un próximo video.
----------------------------------- ♛ BONUS ♛-­­­---------------------------------
Recomiendo  leer mi artículo: "Tipos de Cambio Nominal y Real. Diferencias"
¿Quieres leer el artículo? Visita el siguiente enlace: http://bit.ly/2mPMIuo
-----------------------▂ ▃ ▅ ▆ █  SÍGUEME  █ ▆ ▅ ▃ ▂ ----------------------
☛ BLOG: http://estudioinmobidiario.com
☛ FACEBOOK: http://bit.ly/2nh4x0v
☛ TWITTER: https://twitter.com/edifbrisamar
YOUTUBER DEL VIDEO: http://bit.ly/2oaLTfP
Un saludo muy cordial
companygus@gmail.com</t>
  </si>
  <si>
    <t>Se presenta los componentes de Windows 10</t>
  </si>
  <si>
    <t>Rúbrica 1: Involucra activamente a los estudiantes en el proceso de aprendizaje.
La Evaluación del Desempeño Docente (EDD) evalúa aspectos fundamentales que forman parte del trabajo cotidiano de todo docente. NO es una prueba de conocimientos ni teórica. Tampoco evalúa metodologías, enfoque o innovaciones curriculares que requieran una capacitación específica.
El instrumento principal que se emplea es la observación de lo que el docente hace en el aula: cómo promueve el respeto, cómo regula el comportamiento de los estudiantes en el aula, cómo gestiona el tiempo de aprendizaje, cómo promueve el razonamiento y la creatividad, cómo motiva a los estudiantes y cómo responde a sus necesidades educativas.
Los otros instrumentos, pensados exclusivamente para la educación inicial, evalúan la comunicación que el docente ha establecido con las familias, su responsabilidad (en términos de cumplimiento del horario y planificación), su compromiso con la institución educativa y su gestión del espacio y los materiales de los que dispone en su aula.  Estos instrumentos se adaptarán a las particularidades de los otros niveles educativos y modalidades en los próximos años.
Más información en: 
www.minedu.gob.pe/evaluaciondocente
Línea de atención de consultas: (01) 615 5887.  
Atención de lunes a viernes de 8:30am a 5:30pm</t>
  </si>
  <si>
    <t>_xD83D__xDCF8_SÍGUEME EN INSTAGRAM: https://www.instagram.com/_fer.fu/
_xD83D__xDC40_ ✅ Descubre cómo se imprime una pieza en 3D desde cero. Te cuento el paso a paso para lograr imprimir una pieza en 3D
-Música por:
Music by Joakim Karud http://youtube.com/joakimkarud
Music by @joakimkarudmusic  ,  en FB, IG</t>
  </si>
  <si>
    <t>Conoce juegos y dinámicas de presentación para utilizar con tus alumnos o trabajadores.
Las situaciones que se generan cuando se establecen nuevas relaciones, en grupo, forman circunstancias que en ocasiones necesitan de un procedimiento técnico para establecer un primer contacto y conocerse mejor. Las dinámicas conversadas en este vídeo tienen como objetivo que el alumno pueda integrarse en un nuevo grupo de una manera eficaz y agradable. 
¿Aún no te has suscrito a LIFEDER en YouTube? ►►https://goo.gl/YasPce
CONECTA CON LIFEDER
Web: https://www.lifeder.com
Facebook: https://www.facebook.com/lifeders/
Twitter: https://twitter.com/lifeder</t>
  </si>
  <si>
    <t>In this first episode of Study Hall: Data Literacy, Jessica Pucci talks us through some of the critical vocabulary we'll need to become great Data Analysts. And, she lays out the basic ideas behind what it means to be Data Literate and how we can start looking at information and the world a little differently. 
_xD83D__xDD14_ Subscribe: http://www.youtube.com/asu 
About ASU:
Recognized by U.S. News &amp; World Report as the country’s most innovative school, Arizona State University is where students and faculty work with NASA to develop, advance and lead innovations in space exploration. ASU graduates more than 20,000 thinkers, innovators and master learners every year. See how ASU is building the next generation of leaders by providing access to education through a variety of digital learning assets: http://links.asu.edu/cnjuk
Connect with Arizona State University: 
Visit ASU's website: http://links.asu.edu/cnjuklo
Follow ASU on Facebook: https://www.facebook.com/arizonastateuniversity 
Follow ASU on Twitter: https://twitter.com/asu 
Follow ASU on Instagram: https://www.instagram.com/arizonastateuniversity 
Connect with ASU on LinkedIn: https://www.linkedin.com/company/arizona-state-university</t>
  </si>
  <si>
    <t>Que es la Realidad Virtual y Realidad Aumentada - Lo que hace las hace diferentes de otro tipo de tecnología es que directamente afecta las percepciones
Mucho se ha hablado sobre la realidad aumentada y la realidad virtual en los dos últimos años, y mucho más se va a hablar en adelante sobre estas dos tecnologías, que aunque paralelas, no son lo mismo. Es importante conocer las diferencias entre aumentada y virtual para aprovechar las oportunidades que nos ofrecen cada una de ellas en las industrias.
Realidad Aumentada
La Realidad Aumentada es cuando a la realidad existente incorporamos elementos adicionales sean del tipo que sean. Estamos enriqueciendo la realidad existente con otras informaciones útiles y/o necesarias. Por ejemplo, cuando enfocamos hacia un elemento real (como una válvula) y sobre la misma se superpone información extra.
Realidad Virtual
En la Realidad Virtual todo lo que vemos es virtual, no existe nada real. Se suele utilizar mediante gafas y sistemas donde no podemos apreciar la realidad existente. Por ejemplo, modelamos en 3D una nave industrial aún por construir y nos colocamos dentro para experimentar como será de grande, elementos que llevará, etc.
Aprende de Marketing Digital y Redes Sociales en:
www.RodrigoHM.com
Rodrigo en Redes Sociales:
https://www.youtube.com/c/marketingexpertos
https://twitter.com/RoyGrillo
https://instagram.com/RoyGrillo
https://www.facebook.com/MarketingExpertos
Que es la Realidad Virtual y Realidad Aumentada</t>
  </si>
  <si>
    <t>Mira el nuevo Curso de Computación Básica 2020: Paso a Paso:) https://www.youtube.com/watch?v=mwfFINg7unA&amp;list=PL1TTQQdER7Z3kLRgjQxK1j0TFsaHNcW1y
Si quieres aprender con clases personalizadas escríbeme: +593982704197
CURSO DE COMPUTACIÓN BÁSICA PARA ADULTOS MAYORES Y JÓVENES.
INTRODUCE AL COMPUTADOR, DE MANERA SENCILLA, EMPIEZA A SACARLE PROVECHO A TU ORDENADOR...
¿Me invitas a una taza de café? paypal.me/informaticaenlaweb (Donativos al canal)
#tutorial #computacion2020 
O CURSO COMPLETO DA COMPUTAÇÃO BÁSICA 2018 APRESENTA A UTILIZAÇÃO DE UM COMPUTADOR A PARTIR DE ZERO.
-------------------------------------------------------------------------------------</t>
  </si>
  <si>
    <t>Si deseas impulsar tus productos o servicios, siempre es mejor hacerlo con videos y sobretodo si son videos animados.
Las animaciones hacen llegar el mensaje de manera divertida, fácil y mantiene a los usuarios atentos.
Aquí te compartimos 5 herramientas para hacer videos animados completamente GRATIS! puedes probar todos y definir cuál es mejor para ti. Nosotros ya decidimos!
Nosotros decidimos por una version no Gratuita pero a un SUPER PRECIO.
TOONLY que con un solo pago tienes acceso ilimitado, no tienes que pagar mensualidades.
Aquí te dejamos link!
https://paykstrt.com/8480/51855</t>
  </si>
  <si>
    <t>Respondemos tus dudas la suscripción a Platzi por WhatsApp: http://platzi.com/whatsapp
*Aprovecha el precio especial de Navidad*
Empieza por explicar qué es la transformación digital. En su significado literal es la reinvención de una empresa cuando usa realmente tecnologías digitales para mejorar el rendimiento de sus equipos de trabajo, y esto a su vez lo perciben sus clientes. Una forma de llevarlo a cabo es cuando comienzas a convertir procesos manuales en digitales. Por lo general los empresarios apropian ciertas tecnologías selectivamente mientras persisten procesos manuales: esta solución ya no alcanza. La transformación debe apuntar a que esos procesos sean cada vez más eficientes, y ello implica muchas veces reemplazar completamente procesos manuales por automatizados con tecnología o invertir en mejores equipos que procesen esa tarea.
----------------------------------------------------------------------
Todo esto y más, en https://platzi.com
¡Suscríbete a nosotros!
Facebook: http://bit.ly/platzifb
Aquí, en YouTube: http://bit.ly/mejoryt</t>
  </si>
  <si>
    <t>¡Hola! En este video te hago una pequeña reseña de los inicios deMachine Learning hasta la actualidad. Podrás observar los avances significativos que ha tenido en los últimos años.
_xD83D__xDD17_  Link del carro de la Universidad de Stanford: http://bit.ly/2GulU8y
_xD83D__xDD17_  Conoce más sobre este tema acá: https://bit.ly/3ksJAhh
#InteligenciaArtificial #MachineLearning #MachineLearningconPython #aprendeIA
_ . _ . _ . _
_xD83D__xDCDA_  Link para obtener los EBOOKS: https://aprendeia.com/ebooks
_xD83D__xDCBB_  Link para obtener los CURSOS: https://aprendeia.com/cursos
_xD83D__xDCCC_  Link para obtener los RECURSOS: https://aprendeia.com/recursos
_ . _ . _ . _
_xD83E__xDD16_ Puedes aprender más sobre INTELIGENCIA ARTIFICIAL en nuestra página web: https://aprendeia.com/ 
_ . _ . _ . _
Continua tu aprendizaje en Inteligencia Artificial viendo las siguientes listas de reproducción:
_xD83E__xDD16_  INTELIGENCIA ARTIFICIAL: https://aprendeia.com/YT_aprendeIA
_xD83D__xDDA5_  CURSO: MACHINE LEARNING CON PYTHON: https://aprendeia.com/YT_MachineLearningconPython
_xD83D__xDDA5_  CURSO: APRENDIZAJE NO SUPERVISADO: https://aprendeia.com/YT_aprendizajenosupervisado
_xD83D__xDDA5_  CURSO: INTRODUCCIÓN A PYTHON: https://aprendeia.com/YT_introPython
_xD83D__xDDA5_  CURSO: INTRODUCCIÓN AL ÁLGEBRA LINEAL: https://aprendeia.com/YT_cursoalgebralineal
_ . _ . _ . _
SUSCRÍBETE AL CANAL: https://aprendeia.com/suscribirse
_ . _ . _ . _
ACERCA DEL CANAL 
¿Quieres aprender sobre Inteligencia Artificial pero no tienes conocimientos básicos sobre este tema?
¡Este es el canal ideal para ti!
¡Hola! Me llamo Ligdi González y soy quien esta detrás de este canal, te invito que te suscribas y vayas a la página web aprendiera.com en donde encontrarás mucha más información.
_ . _ . _ . _
CONTACTO / NEGOCIOS
hola@aprendeia.com</t>
  </si>
  <si>
    <t>CREA VIDEOS CON ANIMACIONES Y MÚSICA GRATIS (Tutorial de Canva en Español)
¿Que qué? _xD83D__xDE32_
Sí, ahora en Canva podemos agregar música a nuestros videos y si los mezclamos con stickers, podemos crear contenido super chévere en un par de minutos _xD83E__xDD29_
Me encantan estas nuevas funciones y por eso quiero compartirlas:
00:21 Tutorial de animación
02:50 Funciones de video
05:13 Funciones de música
❤️ Acceso gratuito a mis cursos sobre Instagram &amp; Canva en Skillshare: https://youtu.be/9uCo3xjpkiQ
_xD83D__xDC99_ Prueba Canva Pro Gratis por 30 días (Link de afiliados): https://canva.7eqqol.net/v36ZW
_xD83D__xDD34_ Suscríbete para aprender más sobre Instagram &amp; Canva: http://bit.ly/YoutubeDianaMunoz
❤️Si conoces a alguien que necesite este tutorial, compárte este video usando este link: https://youtu.be/x2XVS9JPPkM
ÚNETE A LA FAMILIA
_xD83D__xDD06_ Instagram: https://www.instagram.com/dianamunoz o @DianaMunoz 
_xD83D__xDD06_ Grupo de Facebook: https://www.dianamunoz.co/grupo
SIGUE APRENDIENDO CONMIGO
_xD83C__xDFC6_ Curso Master de Canva: https://www.udemy.com/course/curso-master-de-canva-disena-como-un-profesional-con-canva/?referralCode=F84B54EF003DA61EEBF6
_xD83C__xDFC6_ Curso Completo de Marca Personal: https://www.udemy.com/course/curso-completo-de-marca-personal-lidera-e-inspira/?referralCode=FB02F3E66610801352C9
_xD83C__xDFC6_ Curso Intensivo de Instagram: https://www.udemy.com/course/instagram-destaca-tu-cuenta-y-crea-audiencia/?referralCode=235A830C1C4E4A312728
_xD83C__xDFC6_ Descubre todos mis cursos en Udemy: https://dianamunoz.co/cursos
MÁS TUTORIALES
_xD83D__xDD25_ Instagram &amp; IGTV: Tips y trucos para tener más seguidores: http://bit.ly/TipsparaInstagram
_xD83C__xDFA8_ Diseño para Principiantes (Tutoriales de Canva en Español): http://bit.ly/TipsCanva
Aprende con @DianaMunoz
♪♪ Music by http://bit.ly/KiaOrionYouTube
#DianaMuñoz  #AprendeconDiana
 #CanvaconDiana #DianasCanvaTutorial #TrucosCanva #CanvaLove #DesignwithCCC
Disclaimer: algunos de estos link son de afiliados con los cuales ganaré una pequeña comisión si realizas una compra por medio de ellos.
Estos links NO te generan ningún costo adicional pero si me ayudan a ganarme la vida para poder seguir creando contenido educativo.</t>
  </si>
  <si>
    <t>Recursos multimedia parte 1</t>
  </si>
  <si>
    <t>Videotutorial sobre como poder utilizar canva para crear videos de manera sencilla.</t>
  </si>
  <si>
    <t>Presentación digital dónde exploramos el concepto de Alfabetización digital y las consecuencias que este concepto tiene para la Educación del Siglo XXI</t>
  </si>
  <si>
    <t>Su negocio necesita un video explicativo
Por qué hacerlo tu mismo?
Solo ve a RawShorts.com, elige la plantilla adecuada para tu negocio y personalízala! 
No necesitas conocimientos de animación!
Raw Shorts es fácil e intuitivo, para que todos puedan hacer videos con acabado profesional usando una interfaz de Drag n drop  muy sencilla
Cuando hayas terminado de hacer cambios, presiona EXPORTAR para compartir tu video  en youtube y facebook,  o publicarlo en tu web site
Además de plantillas animadas, obtendrás acceso gratis  a miles de iconos animados, infografías y personajes de nuestra librería.
Que estas esperando? Ve a Rawshorts.com y crea un video explicativo animado increible para tu negocio hoy!</t>
  </si>
  <si>
    <t>Acá te explico como armar una PC de cero, empezando por la teoria y luego mostrandote todas las partes y empezando con la practica de como armar e instalar el sistema operativo en una PC. Espero que lo disfrutes y nos vemos en la próxima clase.
pagina web para bajar todos los programas
www.ninite.com
Si queres el curso de como ser tecnico de pc completo, lo podes comprar acá
https://gabaktech.com/tienda/producto/pack-3-cursos-tecnico-de-pc-como-sacar-virus-y-redes-informaticas-ud/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</si>
  <si>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Este documental trata sobre la evolución de la teoría del conocimiento y Epistemologia desde una perspectiva filosofica.</t>
  </si>
  <si>
    <t>Watch the full conference on Bigmarker:  https://www.bigmarker.com/atelis/room44
Conferencista: Prof. Raymond Marquina
Universidad de Los Andes, Mérida
País: Venezuela
Hora: 1:00PM Panamá / 1:30PM Venezuela</t>
  </si>
  <si>
    <t>Explicación del concepto de Modernidad Líquida del sociólogo Zygmunt Bauman</t>
  </si>
  <si>
    <t>_xD83D__xDD17_ Curso Genially para Crear Contenido Interactivo Educativo   https://efac.li/Genially
Los estudiantes de eLearning Fácil tienen un cupón de 25% de descuento en el plan anual EDU PRO, el mismo lo verás dentro del curso.
_xD83D__xDD17_ Curso Curso H5P Creación de Actividades Interactivas en Moodle, WordPress y otros LMS  https://efac.li/H5P 
_xD83D__xDC53_ Mira la grabación de los directos en mi blog _xD83D__xDC49_ https://efac.li/Blog
_xD83D__xDCC5_ Mira el calendario y apúntate a mi agenda de contactos, te avisaré de próximos directos  https://efac.li/Agenda
_̷_̷_̷_̷_̵_̵_̵_̵   APRENDE MÁS  _̵_̵_̵_̵_̷_̷_̷_̷
_xD83D__xDE4B_ _xD835__xDDE0__xD835__xDDF6_ _xD835__xDDD4__xD835__xDDF0__xD835__xDDEE__xD835__xDDF1__xD835__xDDF2__xD835__xDDFA__xD835__xDDF6__xD835__xDDEE_ _xD835__xDDF1__xD835__xDDF2_ _xD835__xDDD9__xD835__xDDFC__xD835__xDDFF__xD835__xDDFA__xD835__xDDEE__xD835__xDDF0__xD835__xDDF6_ó_xD835__xDDFB_ [_xD835__xDDF2__xD835__xDDDF__xD835__xDDF2__xD835__xDDEE__xD835__xDDFF__xD835__xDDFB__xD835__xDDF6__xD835__xDDFB__xD835__xDDF4_ _xD835__xDDD9_á_xD835__xDDF0__xD835__xDDF6__xD835__xDDF9_] _xD83D__xDC49_ https://efac.li
_xD83D__xDCDA_ _xD835__xDDE0__xD835__xDDF6__xD835__xDE00_ _xD835__xDDDF__xD835__xDDF6__xD835__xDDEF__xD835__xDDFF__xD835__xDDFC__xD835__xDE00_ _xD83D__xDC49_ https://efac.li/Libros 
_̵_̵_̵_̵   ¿No sabes por dónde comenzar tu formación? _̵_̵_̵_̵  
_xD83D__xDD0E_ _xD835__xDDE7__xD835__xDDF2_ _xD835__xDDFC__xD835__xDDFF__xD835__xDDF6__xD835__xDDF2__xD835__xDDFB__xD835__xDE01__xD835__xDDFC_ _xD835__xDDFD__xD835__xDDEE__xD835__xDDFF__xD835__xDDEE_ _xD835__xDDFE__xD835__xDE02__xD835__xDDF2_ _xD835__xDDF0__xD835__xDDFC__xD835__xDDFB__xD835__xDE00__xD835__xDDF6__xD835__xDDF4__xD835__xDDEE__xD835__xDE00_ _xD835__xDE01__xD835__xDE02__xD835__xDE00_ _xD835__xDDFC__xD835__xDDEF__xD835__xDDF7__xD835__xDDF2__xD835__xDE01__xD835__xDDF6__xD835__xDE03__xD835__xDDFC__xD835__xDE00_ _xD835__xDDF3__xD835__xDDFC__xD835__xDDFF__xD835__xDDFA__xD835__xDDEE__xD835__xDE01__xD835__xDDF6__xD835__xDE03__xD835__xDDFC__xD835__xDE00_ _xD83D__xDC49_ https://efac.li/Asesor
________  Sígueme ________
_xD83D__xDD34_ Youtube https://efac.li/YouTube
_xD83D__xDCF7_ Instagram  https://efac.li/Instagram
_xD83D__xDD35_ Facebook  https://efac.li/Facebook
_xD83D__xDCBC_ Linkedin https://efac.li/Linkedin
_xD83D__xDC26_ Twitter  https://efac.li/Twitter
 _xD83D__xDDBC_️ Pinterest  https://efac.li/Pinterest
_xD83D__xDD17_ Mi Blog  https://efac.li
_xD83C__xDF81_ Un REGALO para ti
CURSO GRATIS "Introducción al e-Learning" _xD83D__xDC49_ https://efac.li/Curso1
#Curso #Tutorial #Moodle #RespondiendoPreguntas
✍️ Gracias por dejar tu comentario.</t>
  </si>
  <si>
    <t>HOLA QUÉ TAL MIS QUERIDOS EDUCANDOS.
En este video les muestro CÓMO CITAR PÁGINAS WEB CON NORMAS APA 7°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#NormasAPA  #7°Edición    
REDES SOCIALES
Twitter: https://www.twitter.com/Massarik79 
Página de Facebook: fb.me/Massarik2.0
Link: CÓMO HACER UNA CITA TEXTUAL CORTA | MUESTRO EJEMPLO | NORMAS APA 
https://youtu.be/Q3AQqkyB1mY
Link: QUÉ PREGUNTAN EN UN EXAMEN PROFESIONAL | SEGUNDA PARTE
https://youtu.be/IuS3LgKMDQg
Link: QUÉ PREGUNTAN EN UN EXAMEN PROFESIONAL | PRIMERA PARTE
https://youtu.be/qmtNUd0Dqas
Link: CÓMO HABLAR EN PÚBLICO SIN NERVIOS Y HACER UNA EXTRAORDINARIA EXPOSICIÓN
https://youtu.be/ftrFA0Vz4FU
LINK: CÓMO HACER LAS CONCLUSIONES DE UN TRABAJO DE INVESTIGACIÓN
https://youtu.be/rsGRvGkU5F4
Link: CÓMO USAR EL PUNTO | MUESTRO EJEMPLO | NORMAS APA 6° ED.
https://youtu.be/evTTAZxs2bA
Link: CÓMO USAR COMILLAS EN UN TRABAJO | MUESTRO EJEMPLO | NORMAS APA 6° ED.
https://youtu.be/-uQMcieu-vg
Link: CÓMO HACER UNA HIPÓTESIS DESCRIPTIVA | MUESTRO EJEMPLO 
https://youtu.be/6r6K_dpOQ3g
Link: CÓMO HACER UNA HIPÓTESIS CAUSAL O EXPLICATIVA | MUESTRO EJEMPLO 
https://youtu.be/8D52Dk6iFiU
Link: CÓMO HACER UNA HIPÓTESIS CORRELACIONAL | MUESTRO EJEMPLO 
https://youtu.be/nItelADB34I
Link: CÓMO CITAR UN ARTÍCULO DE LA CONSTITUCIÓN | NORMAS APA 6° EDICIÓN
https://youtu.be/U1iFJAOIyrk
Link: CÓMO CITAR UN ARTÍCULO CON DOI | NORMAS APA 6° ED. 
https://youtu.be/j87jlsu36p4
Link: CÓMO NUMERAR TEMAS Y SUBTEMAS EN UN TRABAJO | MUESTRO EJEMPLO
https://youtu.be/cGjzZuS_v9I
Link: Cómo agregar los ANEXOS en un trabajo Paso a Paso | Muestro Ejemplo
https://youtu.be/Qbn4Y_Vu9FI
Link: CÓMO REDACTAR LOS RESULTADOS DE UNA TESIS | ENFOQUE CUANTITATIVO
https://youtu.be/stVRIPnZbyQ
Link: CÓMO CITAR DOS OBRAS DISTINTAS EN UN MISMO PARÉNTESIS | NORMAS APA 6° EDICIÓN
https://youtu.be/btU0YvAfb9Q
Link: CÓMO CITAR UNA OBRA CLÁSICA TRADUCIDA | NORMAS APA 6° EDICIÓN
https://youtu.be/QfHn7Cp57aU
Link: PRESENTACIÓN DE NUEVA SECCIÓN DEL CANAL | EL PODCAST DE MASSARIK
https://youtu.be/N6uSOk3TZSE
Link: CÓMO CITAR LIBRO CON EDITOR, COMP., COORD., ETC. | NORMAS APA 6° EDICIÓN
https://youtu.be/iKRKubS2Ygw
Link: CÓMO CITAR UNA FUENTE SIN FECHA DE EDICIÓN | NORMAS APA 6° EDICIÓN
https://youtu.be/OTPp6vZ5WJ0
Link: CÓMO CITAR UNA FUENTE CON AUTOR CORPORATIVO | NORMAS APA 6° EDICIÓN
https://youtu.be/OrnIb9x1SDc
Link: CÓMO CITAR UN LIBRO EN LÍNEA | HACER SU BIBLIOGRAFÍA |NORMAS APA 6° EDICIÓN
https://youtu.be/zs-suahZfVs
Link: CÓMO ELABORAR EL ESTADO DEL ARTE EN UN PROYECTO DE INVESTIGACIÓN O TESIS CON EJEMPLO
https://youtu.be/3xpbc64O2cU 
Link: CÓMO REDACTAR EL MARCO METODOLÓGICO PASO A PASO | MUESTRO EJEMPLO
https://youtu.be/x6QLh-jRny4
Link: QUÉ ELEMENTOS CONTIENE UN PROYECTO O PROTOCOLO DE INVESTIGACIÓN
https://www.youtube.com/watch?v=0Z9QoReyBSc 
Link: ELECCIÓN Y DELIMITACIÓN DEL TEMA DE INVESTIGACIÓN
https://www.youtube.com/watch?v=zsqemeClPqQ 
Link: CÓMO REDACTAR EL PLANTEAMIENTO DEL PROBLEMA
https://www.youtube.com/watch?v=Doku25B_d0U&amp;t=359s
Link: CÓMO ELABORAR LAS PREGUNTAS DE INVESTIGACIÓN
https://youtu.be/RCV0LQbprZg
Link: CÓMO ELABORAR LOS OBJETIVOS DE INVESTIGACIÓN
https://youtu.be/yYeNHVmuJjU
Link: CÓMO ELABORAR LA JUSTIFICACIÓN EN UN PROYECTO DE INVESTIGACIÓN O TESIS
https://youtu.be/WSUxYaZaE-g
Link: VARIABLE DEPENDIENTE E INDEPENDIENTE EN UN PROYECTO DE INVESTIGACIÓN CON EJEMPLO
https://youtu.be/tohE6hhGL9A 
Link: CÓMO ELABORAR MARCO TEÓRICO CON EJEMPLO PARA TESIS O PROYECTO DE INVESTIGACIÓN
https://youtu.be/G9QqebLhLEk
LinK: CÓMO HACER LA INTRODUCCIÓN DE UN TRABAJO DE INVESTIGACIÓN
https://youtu.be/9ZdHLv9FWJw 
Link: CÓMO HACER UNA HIPÓTESIS
https://www.youtube.com/watch?v=zDNvbSjQL5Q
Link: CÓMO HACER UNA PORTADA EN WORD FÁCILMENTE
https://youtu.be/WeRNaJcjN7k
Link: Cómo elegir un TEMA para tu TESIS, TESINA o MONOGRAFÍA
https://youtu.be/mb3aSw5Q-Xk
Link: Cómo elaborar el MARCO CONTEXTUAL | Muestro EJEMPLOS
https://youtu.be/yGlN7TvjRuA
Link: Cómo elaborar el MARCO CONCEPTUAL | Muestro EJEMPLO
https://youtu.be/fLSp4M-P7AU
Link: CÓMO HACER UNA PORTADA DE NORMAS APA 6° EDICIÓN 
https://youtu.be/IpQN3sUoi5E
Link: Cómo hacer el MARCO JURÍDICO | Muestro EJEMPLO
https://youtu.be/qNTYthhQhXE
Link: Cómo citar una LEY con NORMAS APA 6° EDICIÓN
https://youtu.be/97y8hIPuKf0
Link: CÓMO ELABORAR LOS ANTECEDENTES EN UNA INVESTIGACIÓN | MUESTRO EJEMPLO
https://youtu.be/TQDf5RzOxFs
Link: CÓMO CITAR IMAGEN EN LÍNEA | MUESTRO EJEMPLO | NORMAS APA 6° EDICIÓN
https://youtu.be/b16pHiA8HfM
Link: CÓMO SACAR 10 EN UN EXAMEN ESCRITO | TIPS
https://youtu.be/n-sZkTwzcrs</t>
  </si>
  <si>
    <t>En este cuarto capítulo de la serie Pensar la educación trataremos el tema de la educación con equidad y justicia social. 
Participan: Sylvia Schmelkes, consejera de la Junta de Gobierno del INEE; Marisol Silva, Directora del Instituto de Investigaciones para el Desarrollo de la Educación, UIA; y Francisco Miranda, Titular de la Unidad de Normatividad y Política Educativa, INEE. Conduce Leonardo Kourchenko.</t>
  </si>
  <si>
    <t>II Congreso Educativo Internacional de Niveles y Modalidades
María Brown. UNESCO
Licenciada en Relaciones Interinstitucionales por la Universidad de San Andrés de Buenos Aires Argentina. Diplomado Superior en Diseño, Gestión y Evaluación de Proyectos de Desarrollo por la Facultad Latinoamericana de Ciencias Sociales (FLACSO), Maestría en Educación Especial en la Universidad Tecnológica Equinoccial. Asesora del Viceministro de Educación, Subsecretaria de Educación Especial e Inclusiva y Subsecretaria de Fundamentos Educativos en el Ministerio de Educación del Ecuador. 
En la actualidad se desempeña como Oficial de Educación, la Ciencia y la Cultura para la Organización de las Naciones Unidas (UNESCO) en Quito y representante para Bolivia, Colombia, Ecuador y Venezuela, coordinando la asistencia técnica que la UNESCO brinda a los Estados de la Sub Región Andina para el cumplimiento del Objetivo de Desarrollo Sostenible número cuatro para una educación inclusiva y de calidad para todos y todas a lo largo de toda la vida. 
Las principales áreas de atención son: Educación para la Ciudadanía Mundial, Educación de Desarrollo Sostenible, Educación y Formación Técnica y Profesional, Educación Inclusiva y Políticas Públicas Educativas.
______________________________________
II Congreso Educativo Internacional de Niveles y Modalidades
Gobernación del Estado Mérida
Dirección de Educación
15 y 16 de octubre de 2020
https://www.facebook.com/direccioneducacionmerida/
https://twitter.com/MeridaEducacion
https://www.instagram.com/congresoeducativo</t>
  </si>
  <si>
    <t xml:space="preserve">Conferencia: 'Aprender en la red', por Jordi Adell Segura, profesor de Didáctica y Organización Escolar y director del Centro de Educación y Nuevas Tecnologías (CENT) de la Universitat Jaume I.
La conferencia se impartió en el 2º Encuentro de Orientación e Innovación Educativa, como apertura del curso 'Jóvenes, redes sociales y aprendizaje' celebrado en la Universidad de La Rioja los días 24 y 25 de marzo de 2014.
</t>
  </si>
  <si>
    <t>Clase de Didáctica, Universidad Católica de Oriente</t>
  </si>
  <si>
    <t>WEBINAR:"ALFABETISMO DIGITAL" organizado por Grupo Docentes 2.0 C.A., que se llevará a cabo, desde nuestra sala de conferencias, a las 10am hora Miami, el día 6 de junio de 2020.
Este Webinar tiene el propósito de brindar un marco de reciprocidad de conocimientos y experiencias entre profesionales del ámbito educativo de distintos lugares del mundo de habla hispana.
OBJETIVOS:
¿Qué es el Alfabetismo Digital?
¿Por qué existen analfabetos digitales?
¿Qué es la Brecha Digital?
¿Cuáles son los tipos de Brecha Digital?
¿Por qué es necesario alfabetizar a los docentes y estudiantes?
¿Qué recomendaciones le puede dar a los docentes para fomentar la alfabetización en las aulas de clases?
Fecha de inscripción
Inicio: 12 de mayo de 2020.
Cierre: 7 de junio de 2020.
Webinar: 6 de junio de 2020.
------------------------
Artist: Nicolai Heidlas
Title: The Best of Us
https://www.hooksounds.com
-----------------------
Síguenos en:
Twitter: https://lnkd.in/frZrHKC
Instagram: https://lnkd.in/bYEyiat
Web: http://www.docentes20.com/
YouTube: https://lnkd.in/eUd9Zpe (Docentes 2.0)
Pinterest: https://lnkd.in/faY-uWp</t>
  </si>
  <si>
    <t>Maestros(as), subimos contenido pedagógico para tu examen docente, cada semana, por favor Regálame un Like, Suscríbete al canal y coméntanos que temas te gustaría que investiguemos y te lo presentemos en un resumen.</t>
  </si>
  <si>
    <t>Capítulo III: Educación.
Programa que indaga en los antecedentes históricos de la desigual distribución de la riqueza en Chile, fenómeno perceptible desde los orígenes de la conquista y consolidado luego con la independencia. Con la intervención de varios historiadores y economistas, se exponen argumentos que buscan explicar los orígenes de la desigualdad socioeconómica y su mantención a lo largo de la historia, así como su impacto social.
El programa permite considerar el problema desde distintas ópticas ideológicas y énfasis, de tal forma que proporciona una mirada amplia del mismo. El programa forma parte de la serie Chile, copia feliz del edén, que da a conocer problemas cruciales que enfrenta Chile desde una óptica histórica. Una serie de especialistas y personas de connotación pública dan sus puntos de vista del problema presentado en cada capítulo. Todas las situaciones problemáticas dicen relación con la inequidad, injusticia social y conflictos socioeconómicos con sus correspondientes implicancias políticos, con el objetivo de acercar estos temas a un público general no especializado. Cada programa presenta las entrevistas e imágenes de la historia de Chile de variadas fuentes.
Una producción de Fundación Superación de la Pobreza, CNTV y Wood Producciones.
-2014-</t>
  </si>
  <si>
    <t>Breve conceptualización del Aprendizaje Ubicuo. Bill Cope y Mary Calantzis.
Blog de Sociología Educativa: http://ssociologiaeducativa.blogspot.com.ar/</t>
  </si>
  <si>
    <t>Educación emocional para tus hijos con Alejandra Huerta
El saber tratar a tus hijos y guiarlos emocionalmente es la llave para que en un futuro sean adultos de éxito la llave esta en tus manos.
Síguenos: https://www.facebook.com/BiiAlab/
Suscríbete a Nuestro Canal de Youtube  https://www.youtube.com/user/BiiAlab
Suscríbete a Nuestra Página http://www.biialab.org
https://goo.gl/1tEuVH  Educacion 
https://goo.gl/Q2nXey Motivacion
https://goo.gl/UZTj63  Emprendimiento
https://goo.gl/F6fKc8  Pagina principal del blog</t>
  </si>
  <si>
    <t>Más información:
Suscríbete al canal:
https://www.youtube.com/c/Jes%C3%BAsGMaestro?sub_confirmation=1
Accede a la Crítica de la razón literaria:
https://academiaeditorial.com/colecciones/critica-de-la-razon-literaria/critica-de-la-razon-literaria/
Blog académico:
http://jesusgmaestro.weebly.com/
Todos los vídeos, clasificados por temas:
https://jesusgmaestro.weebly.com/videos-temas.html
Página en facebook:
https://www.facebook.com/JGMaestroCRL/
AVISO DE DERECHOS DE REPRODUCCIÓN DE MÚSICA EN LOS VÍDEOS DE ESTE CANAL DE YOUTUBE: Todas las composiciones musicales que aparecen en este canal de vídeos son interpretación pianística propia de Jesús G. Maestro, quien es el titular de los derechos de reproducción de la música que oyes. Al final de cada vídeo, en los créditos, se indica la composición musical y el nombre del intérprete al piano: Jesús G. Maestro, titular de los derechos. 
Por esta razón, cualquier reclamación de derechos sobre interpretaciones musicales llevada a cabo por segundas personas, instituciones o empresas, podrá considerarse como una denuncia falsa, sujeta a las consiguientes sanciones legales determinadas en la jurisprudencia de cada Estado.</t>
  </si>
  <si>
    <t>El Taller de integración de contenidos digitales en Lengua y Literatura se propone como un espacio de análisis y producción acerca de los usos pedagógicos de los recursos TIC en el área de Lengua y Literatura. Este Taller se desarrollará en dos instancias:
TALLER PRESENCIAL
Exploración de recursos digitales del área de Lengua y Literatura disponibles en el portal educ.ar.
Análisis de los usos pedagógicos de los recursos TIC y realización de una actividad.
Puesta en común del análisis y de los trabajos producidos.
FOROS DE DISCUSIÓN
Análisis de los recursos digitales en el marco de una comunidad pedagógica virtual.
Desarrollo de actividades y proyectos para el aula sobre la base de los contenidos del área disponibles en el portal educ.ar.
En este Taller propiciaremos la reflexión y el debate acerca de las posibilidades y los desafíos que implica la integración de recursos digitales en las prácticas de enseñanza en Lengua y Literatura. Tomando como punto de partida el carácter constructivo del conocimiento, se promoverá un espacio de producción, de análisis y de trabajo colaborativo. Será un espacio para intercambiar estrategias de trabajo y para compartir formas creativas de integrar las TIC cotidianamente en las clases de Lengua y Literatura.
http://www.ibertic.org</t>
  </si>
  <si>
    <t>Al presentar el examen profesional o defender tu tesis requieres de mucha experiencia y conocimiento. En este video te doy tres recomendaciones para expresar tu conocimiento con seguridad, precisión y de forma oportuna para tener un mejor resultado.
¿Te gustaría que hablar de algún tema en particular? Déjamelo en la parte de los comentarios y con gusto lo revisaré. 
¡Suscríbete aquí!: https://goo.gl/Gl99oo 
Facebook: https://goo.gl/QcIpHW y https://goo.gl/uvvPSm
Twitter: https://goo.gl/8Br4Ui y https://goo.gl/pucDlx
Instagram: https://goo.gl/Jpb1BA y https://goo.gl/XQe0ha</t>
  </si>
  <si>
    <t>[ENGLISH CC]</t>
  </si>
  <si>
    <t>Este video nos plantea de forma sencilla y práctica el enfoque formativo de la evaluación.</t>
  </si>
  <si>
    <t>Pink has a long journey and tries to tame a horse to ride home.
The Pink Panther is the sly, lanky animated cat created by Friz Freleng and David DePatie. The iconic feline was first created in 1964.
Subscribe for more Official Pink Panther content from MGM: http://bit.ly/2a6uNap
New episodes will be uploaded every Monday, Thursday, and Saturday!
Own The Pink Panther Show:
Season 1 - http://apple.co/2dyvfAG (iTunes); http://amzn.to/2dFXTOC (Amazon)
Season 2 - http://amzn.to/2dQFJsW (Amazon)
Season 3 - http://amzn.to/2dFZyDP (Amazon)
Season 4 - http://amzn.to/2dSn13i (Amazon)
Like: https://www.facebook.com/officialpinkpanther/
Follow: https://twitter.com/thepinkpanther</t>
  </si>
  <si>
    <t>En este vídeo la Psicóloga Maria Elena Badillo con su toque único y amoroso, te comparte 6 claves simples, que te ayudarán a analizar si te encuentras compartiendo la vida con la persona indicada para alcanzar los sueños de tu corazón.
.….….….….….….….….….….….….….….….….….….….….….….….….….…...
¡MERECES SER FELIZ AHORA! 
Crea la vida que sueñas en plenitud y bienestar, accediendo ya a todo el contenido disponible en www.mariaelenabadillo.com, y libérate del dolor, sana tu corazón, fortalece tu autoestima, reprograma tu mente y TRANSFORMA TU VIDA. 
En el Centro de Bienestar Emocional Maria Elena Badillo, encontrarás Asesorías Privadas con Maria Elena, Asesorías Privadas con psicólogos del equipo, Sesiones de Sanación Reiki, entrenamientos y cursos virtuales creados por Maria Elena Badillo. 
Siempre están disponibles para ti las herramientas y técnicas que han ayudado miles de personas en todo el mundo: Herramientas de Psicología, Espiritualidad y Crecimiento personal, enmarcadas con el toque único y amoroso de Maria Elena Badillo. 
.….….….….….….….….….….….….….….….….….….….….….….….….….…...
_xD83D__xDD14_ Recuerda suscribirte al canal y activar las notificaciones para que no te pierdas nada del contenido que Maria Elena prepara semanalmente para ti! 
También recuerda compartir y darle me gusta a este vídeo! 
En sus redes sociales Maria Elena constantemente está publicando material para que fortalezcas tu amor propio y crezcas en consciencia y plenitud: 
https://www.instagram.com/maria.elena.badillo/
https://www.facebook.com/mariaelenabadillopsicologia
https://twitter.com/Maria_Elena_B
Para más información contacta al equipo, estaremos encantados de asesorarte en:
➡info@mariaelenabadillo.com  
➡relacionamiento@mariaelenabadillo.com
➡representante@mariaelenabadillo.com
➡Soporte@mariaelenabadillo.com
➡ Whatsapp: +57 310 404 8185
Conoce más de Maria Elena visitando:  https:// www.mariaelenabadillo.com
Déjanos tus comentarios, nos encantará leerte.</t>
  </si>
  <si>
    <t>Pink and a sheep come to live in Cattle County, Texas, and have to endure an abusive farmer.
The Pink Panther is the sly, lanky animated cat created by Friz Freleng and David DePatie. The iconic feline was first created in 1964.
Subscribe for more Official Pink Panther content from MGM: http://bit.ly/2a6uNap
New episodes will be uploaded every Monday, Thursday, and Saturday!
Own The Pink Panther Show:
Season 1 - http://apple.co/2dyvfAG (iTunes); http://amzn.to/2dFXTOC (Amazon)
Season 2 - http://amzn.to/2dQFJsW (Amazon)
Season 3 - http://amzn.to/2dFZyDP (Amazon)
Season 4 - http://amzn.to/2dSn13i (Amazon)
Like: https://www.facebook.com/officialpinkpanther/
Follow: https://twitter.com/thepinkpanther</t>
  </si>
  <si>
    <t>Gonzalo Álvarez, escritor, formador y conferenciante, realiza una exposición en la que cabe destacar la importancia de cómo transmitir mensajes directos a través de la elaboración de diapositivas impactantes.
Suscríbete al canal y no te pierdas nuestras novedades.
También puedes visitar nuestra web para más información: www.lidlearning.com</t>
  </si>
  <si>
    <t>¿No sabes que es la Nube o Cloud Computing? En este video te explicamos:
✅ ¿Qué es la nube?
✅ Tipos de nube
✅ Modelos de servicios en la nube
✅ ¿Por qué deberías usar la nube?
✅ ¿Qué proveedores de servicios en la nube existen?
_xD83D__xDCA1_ ¿Sabías que? Los especialistas en Cloud Computing tienen salarios por sobre los 5 mil dólares mensuales en Latinoamérica. ¡Conviertete en un profesional del Cloud Computing en EDteam!
Tienes dos caminos:
☁ Google Cloud Platform: https://ed.team/cursos/gcp
☁ Amazon Web Services: https://ed.team/aws
¿Eres estudiante de instituto, colegio o universidad? ¡Tienes 50% de descuento para que #NoPierdasElAño y estudies en EDteam!
Accede al descuento aquí _xD83D__xDC68_‍_xD83C__xDF93_ https://bit.ly/2SJV3xo
_xD83D__xDE80_ Ayudamos a las personas a desarrollarse y alcanzar sus sueños con cursos de programación, diseño y emprendimiento online y en español.
#NuncaTeDetengas
¡_xD83C__xDF81_ Ahora puedes ser Premium gratis!
Descubre como aquí _xD83D__xDC49_ https://ed.team/blog/tambien-soy-edteam
Web y comunidad EDteam
_xD83D__xDCBB_ https://ed.team
Sé un estudiante premium en EDteam
⭐ https://ed.team/premium
_xD83D__xDD30_ LinkedIn: https://ed.team/linkedin
_xD83D__xDD30_ Instagram: https://ed.team/instagram
_xD83D__xDD30_ Twitter: https://ed.team/twitter
_xD83D__xDD30_ Facebook:https://ed.team/facebook</t>
  </si>
  <si>
    <t>"Makerspaces y bibliotecas: de la Alfabetización Informacional a la Alfabetización Creativa" Dia 15, a las 12 h. de Portugal (13 h. de España) - CONGRESO INTERNACIONAL SOBRE LITERACIONES SIGLOS 21
La gente quiere diseñar y fabricar las cosas que necesita. Este es un impulso natural de cualquier ser humano que ha sido mitigado en la era actual por las fábricas que pueden hacer artilugios de forma más eficiente y que los fabricados por los artesanos. Por desgracia, las fábricas, aunque son eficientes, no pueden hacer un de poder atender los deseos y necesidades individuales de los clientes, hasta cierto punto, se espera que los clientes se conformen con un número limitado de configuraciones. La llegada de los movimientos "Do it yourself" (hazlo tú mismo) y el desarrollo de los movimientos comunitarios es un hecho; y el desarrollo de movimientos comunitarios está impulsando el nuevo concepto de que fomenta el compromiso cívico a través de una serie de actividades creativas que pueden concebirse como  ciudadanía maker; un concepto que aúna la comprensión de la creación, la alfabetización digital y la ciudadanía.</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</si>
  <si>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El psicólogo Alberto Soler responde ante dudas universales en la educación, el crecimiento personal y la crianza. Entre sus propuestas, destaca el concepto de la co-paternidad donde los hombres no “ayudan” en casa, sino que se responsabilizan, y donde la parentalidad consiste en reconocer y dar espacio para la educación de madres y padres, con sus diferencias y peculiaridades. Soler advierte también de los peligros de la enseñanza con “etiquetas” y de la obediencia ciega: el futuro de los niños pasa más por la educación en valores como la asertividad, el pensamiento crítico y la autonomía.
Alberto Soler es psicólogo y Máster en Psicología Clínica y de la Salud con más de 10 años de experiencia clínica y asesoramiento a padres. Soler es conferenciante y colaborador habitual en prensa, radio y televisión y coautor del libro “Hijos de padres felices” y del videoblog Píldoras de Psicología.
#AprendemosJuntos</t>
  </si>
  <si>
    <t>¿Por qué creen que ha tenido tanta pregnancia en la escuela la metáfora que divide nativos de inmigrantes digitales? Responden esta pregunta Inés Dussel, Perla Zelmanovich, Ana López y Daniela Gutiérrez.
Este video, formó parte de la instancia presencial de la Especialización.
Grabado y producido en Mayo 2015.
http://postituloprimariatic.educacion.gob.ar/</t>
  </si>
  <si>
    <t>Una pregunta incesante de cómo las palabras y la música se unen formando un lenguaje universal que trasciende a todas las especies vivas.
Una de las mujeres con imponente voz en Guadalajara. María del Carmen Camarena (conocida sencillamente como Maricarmen), ha sido parte de la agrupación tapatía Radaid. Paralelamente ha incursionado en diversos proyectos sonoros haciendo gala de su capacidad vocal en formaciones relacionadas a la música medieval, renacentista, sacra contemporánea fusionada con jazz, y rock progresivo. Actualmente se dedica a su proyecto de canción francesa "Les femmes de serge" y otras propuestas artísticas como el teatro. Su público la distingue por su peculiar rango soprano, originaria de Guadalajara, estudió en Londres, México y Estados Unidos.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</si>
  <si>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Para el aprendizaje en la sociedad digital, debemos desarrollar competencias para usar las tecnologías de manera eficaz y eficiente que  transformen las herramientas en verdaderas estrategias de aprendizaje.
Libro recomendado: El mundo digital de Nicolás Negroponte.</t>
  </si>
  <si>
    <t>En esta espectacular lección, te mostraremos cuáles son los riesgos en la red y cómo evitarlos</t>
  </si>
  <si>
    <t>Según cifras de Subtel, en Chile 12,7 millones de personas son usuarios de Internet.</t>
  </si>
  <si>
    <t>Proyecto prototipo de tesis, Módulo l, Competencias mediáticas.</t>
  </si>
  <si>
    <t>El desafío de la transformación digital no está en lo digital, sino en la transformación. Lo digital no es más que tecnología y, por tanto, se puede adquirir. La transformación, sin embargo, nos obliga a revisar nuestra forma de trabajar, nuestra estrategia e incluso nuestra cultura y supuestos organizacionales. Aunque inviertas millones en tecnología si no entiendes realmente lo que implica la Transformación Digital, tu esfuerzo probablemente no de los frutos que esperas.
Te invitamos a este webinar que te permitirá repensar la forma en que estás transformando tu organización, y entender los factores fundamentales en los que debes poner atención.</t>
  </si>
  <si>
    <t>Vivimos un momento en que ya no hay discusión sobre si queremos o no queremos las herramientas digitales, o sobre si son buenas o malas. Están ahí. Nuestro objetivo es partir de esta aceptación para provocar el pensamiento crítico, creativo y ético, para explorar formas de humanizarnos en un mundo digital.
Los talleres de experimentación metodológica en Medialab Prado, forman parte del proyecto de investigación que Inés Bebea ha desarrollado durante su estancia como mediadora a lo largo del curso 2014-2015.
Blog: aprendizajes.medialab-prado.es/
Guía de Alfabetización Digital Crítica: guia.ondula.org/</t>
  </si>
  <si>
    <t>Though the composition is public domain, the performance belongs to the record label that recorded the following performer (see YouTube's attributes in the full description):
Hannes Kästner
Album: 
Bach, J.S.: Organ Music - Preludes and Fugues - Toccata and Fugue in D Minor - Chorales Preludes. 
This album was released in 1988 and it's also available on ITunes : 
https://itunes.apple.com/ca/album/bach-j-s-organ-music-preludes-fugues-toccata-fugue/id389168578</t>
  </si>
  <si>
    <t>¿Crees estar aprovechando al máximo tu potencial? ¡Piensa dos veces! Los hábitos de consumo y las actividades habituales han cambiado mucho con la llegada de las nuevas tecnologías. ¿Sabes de qué manera eso te afecta como emprendedor?
Actualmente los canales digitales son imprescindibles para destacar en cualquier mercado o actividad, pues te permiten conocer mejor a tus clientes y a construir una relación más cercana con ellos. Ten en cuenta que solo podrás posicionarte y tener éxito dentro de tu rubro si logras crear valor y ser altamente competitivo. 
Para incorporar la tecnología a tu día a día como emprendedor o empresa, hay tres puntos clave: 
•Mejorar tu exposición
•Optimizar procesos
•Digitalizar la documentación. 
¡En este video aprenderás cómo hacerlo! 
Y al mismo tiempo obtendrás las respuestas para preguntas urgentes como: qué mejorar, cómo acercarme a mis clientes, cuál es el mejor camino para hacerlo, entre otros.
¿Estás listo para iniciar este camino? La transformación digital te está esperando ¡Anímate!
--
Educatina es el canal de educación secundaria N°1 de Latinoamérica con más de 1 millón de suscriptores y la mayor variedad de temas: Matemáticas, Física, Ciencias Naturales, Sociales y demás. Con nuestros videos puedes aprender cualquier tema que te interese íntegramente a tu propio ritmo, consultar lo que viste en clase para despejar todas tus dudas o prepararte para un examen.</t>
  </si>
  <si>
    <t>Jürgen Klarić es un reconocido experto en neuromarketing, que a raíz de una experiencia personal con su hija de 15 años, a la que se vio obligado a sacar del colegio, por temas de acoso psicológico, decidió comenzar una investigación sobre educación en 14 países.
Basado en esta investigación y apoyado por un grupo de expertos desarrolla el documental un crimen llamado educación con una duración de 70 minutos, en el que cuestiona los métodos educativos y evidencia las fallas en el mismo.
Jürgen enfatiza en que la educación es la única forma de acabar con la pobreza, la falta de prosperidad y la corrupción. Pero que al sistema educativo le hace falta enseñarles a las personas a ser prosperas, a gestionar sus emociones, a comunicarse asertivamente y a ser feliz.
► Suscríbete en mi canal, toda la información que tengo para ti puede cambiar tu vida: ► https://bit.ly/YouTubeJurgenKlaric
Mis curso y eventos puedes verlos en mi pagina web: https://www.jurgenklaric.com/es/
Sigueme en las redes sociales:
https://facebook.com/neurojk
https://twitter.com/JurgenKlaric
https://instagram.com/jurgenklaric
https://www.linkedin.com/pub/jurgen-klaric/4/117/992</t>
  </si>
  <si>
    <t>En el video de hoy hablamos acerca de un doctorado en sus aspectos más esenciales: ¿Qué es y para qué sirve?  Si quieres saber más sobre cómo acceder al doctorado y qué se hace durante esta etapa, consulta estos enlaces:
-Video anterior sobre apps y softwares de investigación para tu día a día: https://www.youtube.com/watch?v=uXxk2kciEKg&amp;t=10s
-Máster y doctorado, ¿Para qué sirven? http://www.ebaes.es/2017/03/master-doctorado-funcion.html
-Acceder al doctorado: cómo, cuándo y dónde: http://www.ebaes.es/2017/03/acceder-doctorado.html
-Cómo escribir una carta de motivación (para acceder al doctorado, o pedir una beca): http://www.ebaes.es/2017/02/escribir-carta-motivacion.html
-Información general sobre las principales vías de financiación para el doctorado en España (FPU y FPI): http://www.ebaes.es/2016/07/requisitos-becas-fpu-fpi.html</t>
  </si>
  <si>
    <t>ArtVisuel atelier. / Taxi Driver Films / Cleto art.co.
REEPS theory.lab. / Si Podemos / UAQ fovin 
Psicología Social / Almendra Roja
Dirección: Alejandro Hernández
Audio: Romel Pérez
Fotrografía: Uriel Torres
Edición Miguel Ramírez
Cortometraje Documental que registra la experiencia de jóvenes universitarios en su labor como alfabetizadores en zonas serranas del Estado. En un mundo donde las prácticas de la Educación Pública están orientadas al mercado y la competencia, es que han decidido crear escenarios donde la palabra se encuentre y brote la posibilidad de repensar los contextos. Jóvenes que crean puentes que conectan la razón al corazón.
artvisuelstudio.blogspot.mx</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</si>
  <si>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"¿Qué haría Sócrates hoy con un móvil? ¿Es ético que tu pareja revise tus mensajes? ¿El avance de la ciencia y la técnica debe tener límites?". En este vídeo, el profesor de Filosofía, Eduardo Infante, convierte grandes preguntas universales sobre la vida en debates cotidianos que saltan a las calles y a la pantalla de un móvil. 
De la misma forma que propone a sus alumnos los llamados #filoretos a través de Twitter, en su libro 'Filosofía en la calle' también abre la puerta al lector para que participe en el ágora virtual donde se sigue buscando respuestas filosóficas a problemas cotidianos. 
“La filosofía no nació en un aula, sino nació en las calles de una ciudad por las que Sócrates deambulaba. Y Sócrates no era un profesor de Filosofía; era un trabajador de la construcción, un vecino normal y corriente, pero implicado profundamente con el proyecto democrático y con la libertad. A Sócrates le encantaba hacer filosofía en plena calle, en los mercados, en las plazas, con los vecinos… dialogando y debatiendo acerca de lo justo y lo injusto y del bien común. Creo que se trata de recuperar esa práctica de la filosofía”, concluye el autor. 
#AprendemosJuntos</t>
  </si>
  <si>
    <t>I’m always right
but she came down in circles
Unwriting me down
my leaves rose up
I stepped outside 
to meet her horizons
she stopped me
just as quickly knowing
why I came back
They said I ran through the glass
of her eyelids
I found you there broken
lying in sunshine
in the sky it was written:
“whatever, whatever”
You know that I’m worth it, I’m worth it
as much as I fuck it I fuck it I fuck it
She pulled me out 
as I was diving with my seals
Even the blades
desintegrate 
Now that you
shiver while the hitman
finishes me off
as he rips
my flesh apart
I want you to know
things won’t be different when I go
There’s a forest on your forehead
We’re still lost inside
They said I ran through the glass
of her eyelids
I found you there broken
lying in sunshine
In the sky it was written:
“whatever, whatever”:
You know that I’m worth it, I’m worth it,  I’m worth it
as soon as I get it, I nail it, I own it
as much as I fuck it, shit on it, you know it
as long as you tell me
whatever whatever
You know that I know that you know that I know 
You know that I’m worth it, I’m worth it
as much as I fuck it I fuck it I fuck it.</t>
  </si>
  <si>
    <t>El objetivo de este vídeo es entender como el COVID-19 ha sacado a la luz las diferencias entre aquellas empresas que durante los últimos años han estado trabajando la Transformación Digital y aquellas empresas que no han tenido una visión clara de cómo aprovechar lo digital dentro de su organización.
Jordi Camós es Consultor Estrategia Digital. Formador y Tutor en los programas de Transformación Digital para empresas del IL3-UB.
Descubre este y otros vídeos en nuestra web IL3 en casa: www.il3.ub.edu/il3encasa</t>
  </si>
  <si>
    <t>El 26° Congreso Interamericano de Educación Católica CIEC 2020 contó con la participación del Investigador y especialista en tecnologías nuevas y educacionales, Cristobal Cobo.
¡No olvides compartir!</t>
  </si>
  <si>
    <t>Vídeos refuerzo positivo:
https://youtu.be/zmi7NExKGTM
https://youtu.be/Nak7XAa5vyM
Herramienta class dojo:
https://youtu.be/nRqS7S17gvY
Mejor página para profesores:
www.kumubox.com
https://WWW.ELTARRODELOSIDIOMAS.COM
Blog: http://www.eltarrodelosidiomas.com
FB: http://www.facebook.com/eltarrodelosi....
Twitter: @tarrodeidiomas
Instagram: @tarrodeidiomas</t>
  </si>
  <si>
    <t>Brecha digital o brecha tecnológica: lo digital crea diferencias entre generaciones, clases sociales o procedencias geográficas, no todo el mundo entra en ese nuevo mundo con el mismo ritmo y la velocidad de los cambios tecnológicos agudizan esas diferencias.
Aunque existe una brecha generacional clara, es más preocupante la brecha social. En Andalucía seguimos a la cola de España en el uso de tecnologías de información, iniciativas publicas, como el proyecto Guadalinfo, han intentado paliar esta situación y llevar la alfabetización digital a la población, asesorando también a la hora de buscar trabajo en la red. 
Otra brecha digital sería la conceptual, se tiene acceso a la tecnología pero no se sabe aprovechar las posibilidades que ella ofrece. Eso es muy frecuente en nuestra comunidad, hay pocas empresas que desarrollen actividades económicas en los campos tecnológicos y falta un tejido innovador de empresas con creatividad.
[Programa "Los Reporteros", 1140, 19 de mayo 2016. Canal Sur Televisión]
Síguenos en http://educaccion.tv/
19/05/2016</t>
  </si>
  <si>
    <t>QUE ES INTERNET Y COMO FUNCIONA LA RED DE REDES (Internet) como están conectadas las redes de datos en el mundo y como es el acceso a través del centro de datos</t>
  </si>
  <si>
    <t>Especialista sénior en Educación y Tecnología de origen Chileno, con una serie de artículos y libros enfocados en la tecnología actual y su rol en la educación.
Graduado del doctorado en Ciencias de la Comunicación en la Universidad Autónoma de Barcelona. Fue profesor y director de Comunicaciones y Nuevas Tecnologías de la Facultad Latinoamericana de Ciencias Sociales, México, además de evaluador externo del Banco Interamericano de Desarrollo (BID), la National Science Foundation y MIT Press, la Organización Internacional del Trabajo y del Centro Internacional de Investigaciones para el Desarrollo.
Actualmente es investigador asociado del Instituto de Internet de la Universidad de Oxford, orador sobre temas relacionados con el uso de nuevas tecnologías en la educación en todo el mundo —siendo conferencista invitado a más de treinta países, con cuatro eventos TEDx—, además de fundador y director del Centro de Estudios de la Fundación Ceibal en Uruguay, donde lidera iniciativas para aprender del uso de tecnologías educativas en escala.</t>
  </si>
  <si>
    <t>Information to make this video was obtained and collated from the following resources: UpToDate, CDC, WHO and journal articles from the Lancet and NEJM.
Special thanks to Anuka Minassian, PhD for translating and narrating this video.
"The World health organisation (WHO) has declared COVID-19 a pandemic. COVID 19 stands for coronavirus disease 2019 and is caused by the severe acute respiratory syndrome coronavirus 2.
Coronaviruses are a large family of viruses that are common in people and many different species of animals including cats and bats. Common human coronavirus typically causes an upper respiratory tract infection, like the common cold. Most people get infected with one or more of these viruses at some point in their lives. The human coronavirus infection typically resolves on its own with basic rest while feeling miserable. 
Rarely, the coronaviruses that infect animals can evolve and become a new human coronavirus which then infect and spread between people. Important examples include severe acute respiratory syndrome coronavirus or SARS in 2003 and Middle East respiratory syndrome coronavirus also known MERS in 2012"</t>
  </si>
  <si>
    <t>¿Conoces nuestras otras redes sociales?
Facebook Enric Corbera Institute: http://bit.ly/2PvELVL
Instagram: http://bit.ly/2BDRYZH
Twitter: https://bit.ly/2J6HEwX
Linkedin: https://bit.ly/2TAXYes
¿Te puedes independizar de tus padres?
Hay relaciones entre padres e hijos que nos limitan la vida. Tenemos que ser conscientes de que, como padres, tomamos decisiones que luego nuestros van a repercutir en la vida de nuestros hijos. Por ejemplo, cuando decimos que no nos separamos porque así los hijos tienen a los dos padres en casa. ¿Este es el modelo de padre o madre que les queremos dar?
De la misma manera, tenemos que ser conscientes de la relación que tenemos con nuestros padres. No es saludable cuidar de los padres cuando no queremos hacerlo o vivir a su lado cuando eso limita nuestra propia vida y, al contrario, lo podemos hacer cuando estamos en coherencia con ello. No importa lo que hagamos si lo hacemos de corazón. 
Es fundamental vivir en coherencia. Esta es la manera de respetar a los hijos y la manera de respetar a los padres. Sabemos que heredamos programas inconscientes que nos condicionan y cuando los conocemos podemos trascenderlos y transformarlos. El respeto hacia nosotros mismos es el respeto hacia nuestros padres y nuestros hijos. 
Llevo años investigando cómo las emociones afectan a nuestras relaciones, a nuestro cuerpo y a la realidad que nos envuelve. Fundé Enric Corbera Institute; una organización educativa dónde trabajo junto a un amplio equipo de profesionales de diferentes disciplinas científicas y humanistas, comprometidos con el desarrollo de una nueva visión del bienestar desde la relación inseparable entre cuerpo, mente y emociones. Para ello contamos con un método propio conocido internacionalmente: La Bioneuroemoción, que combina conocimientos propios de la espiritualidad y de la ciencia, generando un método único para acompañar a las personas a transitar situaciones de dificultad. 
¿Quieres saber más sobre la Bioneuroemoción®? https://www.enriccorberainstitute.com</t>
  </si>
  <si>
    <t>➡️ Espero que te haya gustado el video para tener más visualizaciones en las historias de instragram y que puedas aplicar estas estrategias usando los #hashtag en INSTAGRAM!!! 2019
--
_xD83D__xDCF8_ Sígueme en Instagram: @Bysuavecito
https://www.instagram.com/bysuavecito/
 --
♥️Gracias por mirar♥️</t>
  </si>
  <si>
    <t>Un video que hice para mi clase de computación que habla de la evolución de las tecnologias de información.</t>
  </si>
  <si>
    <t>Hola :) Espero que les guste mucho tqm :)
El creador del audio es Tomy DJ por lo que todos los créditos del audio van hacia él :)
Además se encuentran escritos de forma explícita y visible en el inicio del video :)
Twitter 
https://mobile.twitter.com/bananapotatosub
#Reggaeton #RaggaetonViejo #RaggaetonAntiguo</t>
  </si>
  <si>
    <t>Síguenos en nuestras redes sociales:
Facebook: https://www.facebook.com/SANTOTOBGA/
Twitter: https://twitter.com/SANTOTOBGA
Instagram: https://www.instagram.com/santotobucaramanga/
LinkedIn: https://co.linkedin.com/company/universidad-santo-tomas-bucaramanga</t>
  </si>
  <si>
    <t>El acceso a Internet, la inclusión financiera digital y la expansión de las posibilidades de educación remota se han convertido en aspectos cruciales para el desarrollo de la región en medio de la pandemia de la Covid-19.</t>
  </si>
  <si>
    <t>Riquísimas galletas con chips de chocolate!! 
Seguí esta receta y aprendé como hacerlas en casa!!
Suscribite!! ➤  https://www.youtube.com/user/TanDulceRecetas
Encontrá ésta y más recetas en el blog: http://tandulcerecetas.blogspot.com
Instagram: https://www.instagram.com/grisel_tandulce/
Facebook: https://www.facebook.com/TanDulceRecetas
Pinterest: https://www.pinterest.com/GriselReca/
_xD83C__xDFB5_ Música en este video ➤  Ehrling: https://soundcloud.com/ehrling</t>
  </si>
  <si>
    <t>Para nuestro II ciclo de sesiones en Webinars to Go para el Empleo, contaremos con Rocío Pérez, quien nos hablará de el rastreo de ofertas de trabajo en el contexto digital, y el establecimiento de un plan de trabajo online efectivo para su búsqueda.
Una iniciativa impulsada por el Área de Empleo de Fundación Santa María la Real y el Ayuntamiento de Fuenlabrada.</t>
  </si>
  <si>
    <t>PONENCIA DURANTE EL 5 ANIVERSARIO DE LAS LANZADERAS DE EMPLEO
El miércoles 10 de octubre tuve el honor de estar en el 5 aniversario de las Lanzaderas de Empleo en el Espacio de Fundación Telefónica de Madrid.
En el evento he dado la ponencia sobre cuáles son las Competencias digitales y habilidades más demandadas por las empresas. Además he comentado cómo he colaborado con las súper talentosas Lanzaderas de empleo. Me ha gustado que la ponencia se haya transmitido con lenguaje de signos. ¡Está genial!
SUSCRIBETE AL CANAL: http://bit.ly/YouTubeNiltonNavarro 
---------- Resumen de la ponencia -----------
Estas son las 8 competencias digitales que todo profesional debe tener:
1. Conocimiento digital
2. Gestión de la información
3. Trabajo en red
4. Comunicación digital
5. Aprendizaje continuo
6. Visión estratégica
7. Liderazgo en red
8. Orientación al cliente
Hoy en día las empresas, además de las aptitudes profesionales, los conocimientos o la experiencia de las personas a un puesto de empleo, también valoran su personalidad y lo que pueden aportar a la empresa a nivel de actitud.
Las soft kills son las denominadas habilidades personales, aquellas capacidades que tienen las personas para enfrentar las diversas situaciones diarias, tanto en su vida personal como profesional. Son rasgos de personalidad, habilidades sociales, de comunicación, lenguaje y conductas que caracterizan los hábitos de relación con el resto de empleados.
¿Cuáles son las habilidades más demandas por las empresas?
1. Capacidad de trabajar en equipo
2. Capacidad para resolver conﬂictos y problemas
3. Capacidad de tomar decisiones
4. Adaptación al cambio
5. Capacidad de comunicar eﬁcazmente
6. Proactividad
7. Empatía
8. Creatividad
9. Tolerancia a la presión
10. Orientación a resultados
SUSCRIBETE A MI CANAL: http://bit.ly/YouTubeNiltonNavarro 
---- ▅ ▆ █TE INVITO A SEGUIRME █ ▆ ▅ ----
- Twitter ::: https://twitter.com/NiltonNavarro
- Instagram NiltonNavarroFlores ::: https://www.instagram.com/niltonnavarroflores/
- LinkedIn ::: https://es.linkedin/niltonnavarroflores 
- Facebook ::: https://www.facebook.com/nilton.navarro.flores</t>
  </si>
  <si>
    <t>Síguenos en nuestras redes sociales:
Facebook: https://www.facebook.com/SANTOTOBGA/
Twitter: https://twitter.com/SANTOTOBGA
Instagram: https://www.instagram.com/santotobuca...
LinkedIn: https://co.linkedin.com/company/unive...</t>
  </si>
  <si>
    <t>En tan solo 10 minutos vamos a ver cómo hemos llegado a los ordenadores como los de hoy en día partiendo desde el ábaco y cuáles han sido los grandes avances en #computación que nos han traído hasta aquí.
Cuándo aprendemos a #programar es muy importante entender qué es lo que un ordenador hace cuando ejecutamos un código.
Suscríbete al canal para no perderte contenido futuro: https://bit.ly/3bHkIxA
--- Redes sociales --- 
Twitter: https://twitter.com/CommitThatLine
Facebook: https://www.facebook.com/CommitThatLine</t>
  </si>
  <si>
    <t>Link de registro de asistencia: https://forms.office.com/r/Y5vBMw3WVT</t>
  </si>
  <si>
    <t>Aprende a crear un mapa mental en tu documento WORD. Fácil. Manualmente y automático. #MapaMental #MapaMentalWord #WORDMapaMental
Suscríbete en mi otro canal:
https://www.youtube.com/channel/UCoyxAaRBVQFYyQdDbm_ZlKg
Síguenos en las Redes Sociales: 
www.eltiotech.com
Facebook: https://www.facebook.com/eltiotechh
Instagram: https://www.instagram.com/luismiguelvelavela/
Grupo de ayuda Excel:
https://www.facebook.com/groups/341460193311881/</t>
  </si>
  <si>
    <t>Video explicativo sobre onboarding 
Institución: Superintendencia del Sistema Financiero
Fecha: 4 de diciembre 
Hora: 09:00 a.m.
https://www.innovacionfinancierassf.com/ 
https://ssf.gob.sv/</t>
  </si>
  <si>
    <t>Mapa conceptual - Formación: https://goo.gl/Kz2640
Mapa conceptual - Mediación formativa: https://goo.gl/dFSLX3</t>
  </si>
  <si>
    <t>Conoce hoy 8 trucos de marketing para tener más ventas en redes sociales como instagram y facebook _xD83D__xDD25__xD83D__xDD25__xD83D__xDD25_ 7 años de Buena suerte por COMPARTIR EL VIDEO!
----------
_xD83D__xDC47_ Aqui los recursos _xD83D__xDC47_ y recomendaciones...
_xD83D__xDD34_ ATENCIÓN! Cada semana estaré promocionando en estos videos 3 cuentas de instagram totalmente GRATIS para ayudar a impulsar a los negocios de nuestra comunidad de mi portafolio y yo. 
Para participar deja un comentario ahora mismo aquí abajo con: _xD83D__xDC47_ 
► Nombre de tu cuenta (@cuentadeejemplo)
► De que País (si es negocio físico)
► A que se dedica tu negocio. 
Elegiremos 3 cuentas al azar de todos los comentarios y los 3 ganadores los promocionaré la próxima semana. Participa ahora mismo!
_xD83D__xDCA5_ Únete gratis a nuestro grupo privado en Telegram para suscriptores del canal, Compartimos información de valor cada semana.
Aquí ► https://t.me/miportafolioyyo
_xD83D__xDC9A_Chequea nuestro NUEVO CANAL de Empoderamiento Mental Para TRIPLICAR los resultados de tu vida. 
Aqui ► https://youtu.be/0eHxpqhbVDY
_xD83D__xDD34_ Visita nuestra página web oficial aquí → https://miportafolioyyo.com
_xD83C__xDF81_ Descarga la Guía GRATIS de Como Emprender un NEGOCIO sin Dejar tu Empleo.
Desbloquealo aquí! ► https://www.miequipajeyyo.net/guia-emprender/
✅ Curso Online para crear vídeos animados como los de este canal.. _xD83D__xDCBB_ 
Aquí _xD83D__xDC49_ http://bit.ly/aprendeHacerVideosAnimados
PD: [NO necesitas conocimientos en diseño o programación]
==================================
_xD83D__xDCB2__xD83D__xDCB5_ Próximo video que te recomiendo ver: 
_xD83D__xDC49__xD83C__xDFFB_ https://www.youtube.com/watch?v=355mSN_tsUk&amp;list=PL8UHuOmrF1Xej937-ZFMIZeOvTM4bqcRx&amp;index=5
_xD83D__xDD38__xD83D__xDD39_ Otros videos con más métodos para ganar dinero desde casa:
✔️ 7 FORMAS CREATIVAS de Ganar $100 Dolares al DÍA   https://www.youtube.com/watch?v=iBHRTP_WW1U&amp;list=PL8UHuOmrF1Xej937-ZFMIZeOvTM4bqcRx&amp;index=6
✔️ 4 Brutales Formas de Ganar Dinero por Internet que Nadie te Dice _xD83D__xDC40_ (Negocio Propio Digital)
https://www.youtube.com/watch?v=eNfueasQmlU&amp;list=PL8UHuOmrF1Xej937-ZFMIZeOvTM4bqcRx&amp;index=7
✔️ Como Ganar Dinero Creando Aplicaciones Gratis (Sin saber programar) Monetizar Apps
https://www.youtube.com/watch?v=ehDTwCYEL4c&amp;list=PL8UHuOmrF1Xej937-ZFMIZeOvTM4bqcRx&amp;index=9
✔️Como Iniciar Negocio de COSMÉTICOS Imparable | 5 Claves para Montar un Negocio de Cosmética
https://www.youtube.com/watch?v=NaXgzwfNA8w&amp;list=PL8UHuOmrF1XcPFVSuD2X5KRNahjm7bRMz
✔️12 Negocios que Puedes Empezar sin Dejar tu Empleo | Como Emprender sin Dejar el Trabajo
 https://www.youtube.com/watch?v=XWM6AhrNBOo&amp;list=PL8UHuOmrF1Xd7TvwvpXOQK_6qSIjja_fj&amp;index=4
==================================
✅ HABLEMOS POR MIS REDES SOCIALES 
► Nos Vemos en Instagram: https://www.instagram.com/miportafolioyyo/
► Hablemos por Facebook: https://www.facebook.com/miportafolioyyo/
► Interactuemos por Twitter: https://twitter.com/miportafolioyyo
_______________________________________________
_xD83E__xDDE1_ ¡Los quiero emprendedores! 
✅ Todos los recursos mencionados en el video los puedes encontrar en el comentario fijado que lo encontraras abajo _xD83D__xDC47__xD83C__xDFFB__xD83D__xDC47__xD83C__xDFFB__xD83D__xDC47__xD83C__xDFFB_
-----------------------------------------------------------
#redessociales #dinero #ventas</t>
  </si>
  <si>
    <t>Preinscripción Cursos Especializados en Dirección y Gestión de Proyectos - USTABUCA
1. Curso de Gestión de Calidad en Proyectos
2. Curso de Gestión de Riesgos para Proyectos
3. Curso de Metodologías Ágiles de SCRUM
Modalidad de los cursos: 100% Virtual
Valor: $1.048.000
Fecha de Inicio del curso: 09/08/2021
Fecha de Finalización del curso: 12/09/2021
Link de inscripción: https://bit.ly/3ePws5E
Mayor Información: 
Yuli Andrea Álvarez Pizarro
Docente 
Programa de Ingeniería de Telecomunicaciones
Correo: yuli.alvarez01@ustabuca.edu.co
WhatsApp: 3175391507
Gracias por participar.
Atentamente, 
Facultad de Ingeniería de Telecomunicaciones</t>
  </si>
  <si>
    <t>Si te gustó este video ¡Suscribite acá! http://bit.ly/365lUrZ
Conocé más sobre la plataforma Ticmas en Ticmas.com
Los mutantes no solo son personajes de ciencia ficción, sino que todos somos mutantes. De hecho, el ADN sufre mutaciones todo el tiempo!
En este video te contamos cómo ocurren las mutaciones, qué tipos existen y cómo se heredan.
También hablamos de cuáles son las consecuencias en la evolución y la generación de diversidad biológica.</t>
  </si>
  <si>
    <t>El _xD83C__xDF6B_ chocolate _xD83C__xDF6B_ viene del grano de cacao, un producto originario de América. Los Mayas y los Aztecas lo usaban para hacer una bebida amarga y energizante, mezclándolo con ajíes picantes. Lo llamaban xocolatl. ☕ Cuando Hernán Cortés llegó al Nuevo Mundo, conoció la bebida, que para los indígenas era sagrada. La llevó a España _xD83C__xDDEA__xD83C__xDDF8_, donde los nobles empezaron a consumirla. Ana de Austria, hija del rey de España y esposa del Rey de Francia, la introdujo en la corte francesa _xD83C__xDDEB__xD83C__xDDF7_, y de a poco, los europeos fueron agregándole azúcar a la preparación para hacerla dulce. Eventualmente, se inventó una prensa que podía separar la manteca de cacao de su polvo, y al mezclarlos de nuevo, se genera un chocolate sólido. Cuando el fundador de la empresa Nestlé le agregó leche _xD83E__xDD5B_, surgió el chocolate con leche, y por fin se llegó a producir la golosina que conocemos hoy.
Si te gustó este video ¡Suscribite acá! http://bit.ly/365lUrZ
Conocé más sobre la plataforma Ticmas en ticmas.com</t>
  </si>
  <si>
    <t>✅✅✅✅_xD83D__xDD34_NO TE PIERDAS EL ENTRENAMIENTO DE SEPTIEMBRE!! INICIA Sep 4 2021_xD83D__xDD34_. REPARACIÓN DE TELEVISORES LG, AMLOGIC Y EDICIÓN MODIFICACIÓN DE FIRMWARE PARA INVERTIR IMAGEN_xD83D__xDD25__xD83D__xDD25_Usando las herramientas de edición y el software Bushers_xD83D__xDD25__xD83D__xDD25_INCLUYE EL SOFTWARE BUSHERS 3.1 Para Amlogic. (Ver vídeo).
Informes:
_xD83D__xDD34_COLOMBIA: 3017578191. _xD83D__xDD34_ https://wa.me/573017578191
_xD83D__xDD34_ECUADOR: Marco Luna: 0984184770_xD83D__xDD34_  https://wa.me/593984184770
_xD83D__xDD34_MÉXICO: Carlos Reyes +521 9621212205_xD83D__xDD34_ https://wa.me/5219621212205
_xD83D__xDD34_BOLIVIA: Vera Trigoso +591 75214377  _xD83D__xDD34_ https://wa.me/59175214377
_xD83D__xDD34_ARGENTINA: Juan Moras +5492392552908_xD83D__xDD34_ https://wa.me/5492392552908
Información por Telegram. 
http://bit.ly/infotelegЯam
Otros países vía whatsapp
Parte de los temas tratados:
http://bit.ly/2indicelibro
_xD83D__xDD34_Inscripciones:
http://bit.ly/webinardetalle
_xD83D__xDD34_Ver vídeo sof Bushers: https://youtu.be/tBYSGLl11EU</t>
  </si>
  <si>
    <t>La Constitución peruana es el conjunto de reglas y principios, entre otros, de más alta jerarquía. Esta agrupa y regula los aspectos más básicos para que la sociedad peruana pueda funcionar y sienta las bases para la construcción del resto de normas.
___________________________________________________________
Fuentes:
Constitución Peruana
https://www.oas.org/juridico/spanish/per_res17.pdf
Principio de legalidad
https://www.tc.gob.pe/jurisprudencia/2016/00010-2014-AI.pdf
Jerarquía normativa
https://www.tc.gob.pe/jurisprudencia/2005/00022-2004-AI.pdf
___________________________________________________________
-Entérate de más-
www.enterarse.com
- Síguenos -
YouTube
https://www.youtube.com/enterarse
Facebook
https://www.facebook.com/EnterarseNTR/
Instagram
https://www.instagram.com/enterarsentr/
Twitter
https://twitter.com/enterarsentr</t>
  </si>
  <si>
    <t>Sígueme o mándame mensaje
https://www.instagram.com/mexican_bikers_and_fighters
Tienes problemas mecánicos con tu Moto?
MI APP cursos gratis de mecánica
https://play.google.com/store/apps/details?id=com.eversoft.motores
SALUDOS !
POR ULTIMO PERO NO MENOS IMPORTANTE
SUSCRIBETE AL CANAL si este video te ha gustado</t>
  </si>
  <si>
    <t>Catedrático de la Universidad de Sevilla en el Departamento de Didáctica y Organización Escolar y Métodos y Diagnóstico en investigación.</t>
  </si>
  <si>
    <t>Tutorial de Excel que da pautas sobre qué tipo de gráfico de Excel podemos utilizar según la naturaleza de los datos que queremos mostrar.
_xD83D__xDCF8_ Aprende Edición de IMAGEN &amp; VÍDEO en Saber Programas Imagen_xD83D__xDC49_ https://bit.ly/SaberProgramasImagen
_xD83D__xDCA5_ Descubre Todos los GADGETS que COMPRAMOS en Picotazo _xD83D__xDC49_ http://bit.ly/Picotazo
Descárgate la plantilla en nuestra web: http://saberprogramas.com/excel-que-tipo-de-grafico-utilizar-segun-el-tipo-de-datos-en-excel/
…………………………………………………………………………………………………………………………
_xD83D__xDE80__xD83D__xDC68__xD83C__xDFFB_‍_xD83C__xDF93_   _xD83C__xDD7D__xD83C__xDD84__xD83C__xDD74__xD83C__xDD82__xD83C__xDD83__xD83C__xDD81__xD83C__xDD7E__xD83C__xDD82_ _xD83C__xDD72__xD83C__xDD84__xD83C__xDD81__xD83C__xDD82__xD83C__xDD7E__xD83C__xDD82_
https://www.saberprogramas.com/cursos/
…………………………………………………………………………………………………………………………
_xD83D__xDD14_ Aprende MÁS (+) en MENOS (-) tiempo
¡¡¡SUSCRÍBETE!!!  https://www.youtube.com/user/SaberProgramas?sub_confirmation=1
…………………………………………………………………………………………………………………………
_xD83C__xDF10_ Redes sociales _xD83C__xDF10_
_xD83D__xDC49__xD83C__xDFFB_ Facebook: http://www.facebook.com/SaberProgramas
_xD83D__xDC49__xD83C__xDFFB_ Twitter: https://twitter.com/SaberProgramas
_xD83D__xDC49__xD83C__xDFFB_ Instagram: https://www.instagram.com/saberprogramas/
…………………………………………………………………………………………………………………………
_xD835__xDE40__xD835__xDE66__xD835__xDE6A__xD835__xDE5E__xD835__xDE65__xD835__xDE64_ &amp; _xD835__xDE4B__xD835__xDE67__xD835__xDE64__xD835__xDE5C__xD835__xDE67__xD835__xDE56__xD835__xDE62__xD835__xDE56__xD835__xDE68_
https://www.saberprogramas.com/equipo-programas/
A menudo, nos preguntáis por los recursos que utilizamos. En esta página vamos recopilando los equipos y programas que utilizamos.
…………………………………………………………………………………………………………………………
Nota: En algunas descripciones de los vídeos encontrarás enlaces de afiliados, lo que significa que, sin costo adicional para ti, recibiremos una pequeña comisión si realizas una compra usando los enlaces. Esto nos permite continuar creando tutoriales como este. ¡Gracias por apoyarnos!
Tutorial que muestra con ejemplos cuando utilizar un diagrama circular, diagrama de barras horizontales, gráfico de columna agrupada, gráfico combinado, gráfico de líneas y gráfico radial.
Se ha utilizado " Microsoft Excel 2016" en español para este tutorial, el tutorial es válido para otras versiones; Excel 2013, Excel 2010 o Excel 2007.</t>
  </si>
  <si>
    <t>Definición de las plataformas virtuales, ejemplo y comparación con redes sociales
Clase destinada para alumnos de la Prepa 20</t>
  </si>
  <si>
    <t>En el siguiente video te muestro como presentar tu pantalla en Google Meet y te explico algunas formas de como seguir viendo a los participantes de la reunión o el chat mientras compartes tu pantalla.
TUTORIAL DE CÓMO UTILIZAR PRESENTACIONES DE GOOGLE
https://www.youtube.com/watch?v=N4_KVVNlvrA
TUTORIAL DE CÓMO UTILIZAR GOOGLE MEET:
https://www.youtube.com/watch?v=X_I9tFXhsCE</t>
  </si>
  <si>
    <t>El Cambio Climático es una amenaza para la vida en nuestro planeta. El aumento en la atmósfera de ciertos gases como el dióxido de carbono, producto del uso de combustibles fósiles, genera un efecto invernadero. Es decir, el calor del sol puede ingresar pero no escapar. Por eso las temperaturas globales no dejan de subir año a año, y traen consecuencias como:
Los polos _xD83E__xDDCA_ se están derritiendo 
El nivel del mar _xD83C__xDF0A_ aumenta 
La producción de alimentos _xD83E__xDD66__xD83C__xDF53__xD83E__xDD69_ se ve en peligro 
La contaminación en las ciudades _xD83C__xDF01_ crece
El clima ⛈️_xD83C__xDF21_️ se vuelve más extremo y cruel
¡Pero hay una solución! Es necesario dejar atrás los combustibles fósiles y apoyarse en las fuentes de energías renovables.
¿Y qué tiene que ver Canadá en todo esto? ¡Mirá el video y enterate!
Si te gustó este video ¡Suscribite acá! http://bit.ly/365lUrZ
Conocé más sobre la plataforma Ticmas en ticmas.com</t>
  </si>
  <si>
    <t>Almacenamiento en la nube – Ventajas de guardar datos en Cloud
¿Te queda poco espacio en tu disco o en tu tableta o teléfono? El espacio de almacenamiento no debe ser un problema. 
En este vídeo te hablamos sobre las ventajas de usar el almacenamiento en la nube y qué opciones existen actualmente para guardar datos en la nube .
Qué es el Almacenamiento en la Nube y cómo funciona (Cloud Storage)
https://mexico.emc.com/corporate/glossary/cloud-storage.htm
Tres de los servicios más comunes de almacenamiento en la nube disponibles actualmente son:
OneDrive
1- Opción de almacenamiento de Microsoft.
2- Incluido en Windows 8, 8.1 y 10.
3- Almacena cualquier tipo de archivo, incluidas fotos, vídeos y documentos.
4- Acceso a los archivos desde cualquier PC con Windows o dispositivos móviles.
5- 5GB de almacenamiento gratuito después de suscripción por correo electrónico.
OneDrive en Windows 10 (PC, teléfono, tableta, HoloLens o Surface Hub):
https://support.office.com/es-es/article/Usar-OneDrive-en-Windows-10-PC-tel%C3%A9fono-tableta-HoloLens-o-Surface-Hub-d7bed7f0-4f5a-4b42-a3a8-a3e5bb4485fe?ui=es-ES&amp;rs=es-ES&amp;ad=ES 
Google Drive
1- 15 GB de espacio de almacenamiento gratuito una vez suscrito.
2- Incluye herramientas de oficina en línea (hoja de cálculo, presentaciones, procesador de textos).
3- Acceso a los archivos desde el sitio web de Drive. También se puede descargar la aplicación de escritorio Drive para Mac y PC para administrar archivos desde la computadora.
4- Acceso a Google Photos, para guardar y organizar tus fotos en línea. 
5- Guarda fotos en la nube de forma ilimitada (formato estándar).
Cloud de Google - Google Drive:
https://www.google.com/intl/es_ALL/drive/using-drive/   
DropBox
1- Fiable, fácil de usar y configurar.
2- Acceso a los archivos desde el sitio web de Dropbox, aplicaciones de escritorio para Mac, Windows y Linux, o las aplicaciones móviles iOS, Android, BlackBerry y Kindle Fire.
3- Se puede almacenar cualquier tipo de archivo, tamaño de archivo máximo ilimitado.
4- 2 GB gratis cuando te registras. Bonos para referidos, y otros.
5- Obtenga 20 GB de espacio de Dropbox incluido durante un año con la compra de una nueva Computadora o Tableta Dell (oferta válida para particulares y por tiempo limitado).
Dropbox:
https://www.dropbox.com/individual  
Saber si tu dispositivo Dell reúne los requisitos para la promoción de espacio de Dropbox:
https://www.dropbox.com/es/help/space/dell-promotion 
Otros links que te pueden interesar:
Dell SupportAssist (en Español):
http://www.dell.com/es-mx/work/learn/supportassist
Dell SupportAssist - Cómo realizar diagnósticos de tu PC (vídeo):
https://youtu.be/J2Z1aHkGRik 
Diagnósticos integrados y en línea para equipos Dell (ePSA o PSA):
http://www.dell.com/support/article/sln115162/ES
Diagnósticos Integrados Dell ePSA (vídeo):
https://youtu.be/gYJo6_cAZt4 
Información sobre códigos de sonido de error en computadoras Dell:
http://www.dell.com/support/article/sln293445/ES
Dónde descargar Manuales y Controladores o Drivers (Centro de Descargas de Dell):
http://www.dell.com/support/
Qué es la Etiqueta de Servicio (Service Tag) y dónde la puedo encontrar:
https://youtu.be/P8mCswK-MHI
Contactar con el Soporte Técnico de Dell &amp; Alienware:
http://www.dell.com/contactus/
También puedes contactarnos vía nuestras Redes Sociales:
https://twitter.com/DellAyuda
https://twitter.com/DellSpain
https://www.facebook.com/DellEspana
https://www.facebook.com/DellLatinoamerica/
Igualmente te invitamos a participar en la Comunidad de Dell en Español (foros, blogs y artículos):
http://es.community.dell.com/
----
Curso gratis de informática / tutorial informatica / guía paso a paso de reparación / tutorial técnico Dell
Curso de Dell y Alienware / formación Dell y Alienware / Tutorial de soporte de Dell y Alienware.
Aprende cómo usar tu computadora en video</t>
  </si>
  <si>
    <t>Los bots llegaron para quedarse y facilitarnos algunas tareas. En este video te mostraremos qué son los bots en Telegram. 
Sigue aprendiendo:
Cómo usar los bots en Telegram
https://youtu.be/pDwbU5Xt-dQ
Whatsapp o Telegram, ¿cuál es mejor?
https://youtu.be/C112qJGUmAQ
Aprende más aquí: https://edu.gcfglobal.org/es/curso-de-telegram/que-son-los-bots-de-telegram/1/
Sigue a CFAprendeLibre en nuestras redes sociales donde compartimos mucho más contenido, ¡GRATUITO!, que te ayudará:
Facebook: https://www.facebook.com/GCFAprendeLibre​
Twitter: https://twitter.com/GCFAprendeLibre​
Instagram: https://www.instagram.com/gcfaprendelibre
Pinterest: https://co.pinterest.com/gcfaprendelibre</t>
  </si>
  <si>
    <t>Si deses enviar mensajes masivos de Whatsapp la solución es crear listas o grupos de difusión, en menos de dos minutos puedes configurarla en tu móvil. 
Al crearla tus contactos recibirán un mensaje individual y no grupal como si crearas un grupo, pero con la ventaja de que la difusión será a un grupo de contactos y no uno a uno.
Sirve para mensajes personales, campañas de marketing o todo aquel uso que apliques una vez y no quieras mantener como grupo de WhatsApp.
Además podrán responderte en un mensaje o chat individual.
Aplica para los celulares con Android, por ejemplo Samsung Galaxy J, Galaxy A, Galaxy S o Galaxy Note
SUSCRIBETE y todas las semanas tendrás nuevas ayudas: http://www.youtube.com/c/en2minutostv
___
00:00:16 Selección NUEVA DIFUSION
00:00:24 Selección de CONTACTOS
00:00:34 Adjuntar INVITACION
00:01:26 RESUMEN PASO A PASO
Si te gustaron nuestros videos y quieres comunicarte con nosotros también puedes seguirnos en:
Web: www.en2minutos.tv
Twitter: www.twitter.com/en2minutostv
Facebook:  www.facebook.com/en2minutos.tv
-~-~~-~~~-~~-~-
Please watch: "Como fijar chats en WhatsApp - versión actual 2017" 
https://www.youtube.com/watch?v=ViP56EtDxuk
-~-~~-~~~-~~-~-</t>
  </si>
  <si>
    <t>APRENDE A CREAR UN GRÁFICO EN GOOGLE SHEETS</t>
  </si>
  <si>
    <t>MÚSICA RELAJANTE PARA ALIVIAR EL ESTRES Y LA ANSIEDAD, MÚSICA PARA MEDITAR, RELAJARSE Y DORMIR
☆ If you look deep enough you will see music; the heart of nature being everywhere music
✰ Music is nothing else but wild sounds civilized into time and tune
✰ Of all noises, I think music is the least disagreeable
✰ After silence, that which comes nearest to expressing the inexpressible is music
_xD83C__xDF19_Música para relajarse, meditar, estudiar, leer, masajes, spa o dormir. Esta música es perfecta para combatir la ansiedad, el stress o el insomnio ya que facilita la relajación y nos ayuda a eliminar las malas vibraciones. También pueden utilizar esta música como fondo para clases de meditaciones guiadas o relajaciones para dormir.
_xD83C__xDF19_ Música para:
Sleep, Study, Spa, Studying Music
Meditation Music, Soothing Musicm, Instrumental Music
Relajación y Meditación. 
Meditaciones guiadas.
Relajaciones para dormir.
Calmar y controlar la ansiedad.
Conciliar el sueño y dormir mejor. 
Estudiar.
Sesiones de yoga, reiki, spa, masajes..
Realizar tareas.
Bienestar.
______________________________________________________________________
_xD83C__xDFB9_Más música relajante en la lista de reproducción de Spotify: https://spoti.fi/38bwOia
_xD83C__xDF3F_Siga Helios Record para un nuevo lanzamiento cada semana:
➤ Spotify: https://spoti.fi/2OgiA6M
➤ SoundCloud: https://bit.ly/1V3lGKg
➤Youtube: https://bit.ly/2BQ5Y3D
➤ Instagram: https://bit.ly/2Zjztnc
➤ Facebook: https://bit.ly/2ZhUKgV
_xD83C__xDF3F_ Música de Vincent Carry
➤ Spotify: https: //spoti.fi/2ZSgDCA
_xD83C__xDF3F_ Para largas horas, hermosa música de relajación, música de piano de meditación, música de piano para aliviar el estrés, consulte nuestra lista de reproducción de Youtube:
➤
_xD83C__xDF1E_ Para contactar y enviar música: relax@wondermusic.us o channel@wondermusic.us
© ️ Todos los derechos pertenecen a Helios Record.
_xD83D__xDC8C_ Ahora cierra los ojos y relájate conmigo _xD83E__xDD2B_
 Piano • Relax • Deep Sleep
#MusicaParaDormir #StudyingMusic #SleepMusic  #RelajaciónyMeditación #músicacurativa #Studying #RelaxingMusic #instrumentalmusic
_____________________________________________________________
musica relajante, meditation music, relaxing music, study music, musica, piano, sleep music, musica para estudiar, musica para dormir, rain sounds, piano music, musica para meditar, musica para concentrarse, musica para calmar la ansiedad, musica para leer y concentrarse, musica relajante para dormir, musica relajante para estudiar, musica relajante para trabajar, relaxing piano music, musica instrumental, lluvia relajante para dormir, musica para relajarse, musica para concentrarse y estudiar, piano instrumental, stress relief, musica de relajacion, musica para estudiar y concentrarse, musica relax, musica para dormir en 5 minutos, relajacion, sonidos de la naturaleza, musica relajante para meditar, musica para dormir profundamente, música relajante, musica de meditacion, musica triste para llorar, dormir profundamente, música para dormir profundamente, musica piano, musica relajante piano, musica para relajarse y dormir, musica dormir, relajacion para dormir, musica de relajacion para dormir</t>
  </si>
  <si>
    <t>Si te gustó este video ¡Suscribite acá! http://bit.ly/365lUrZ
Conocé más sobre la plataforma Ticmas en Ticmas.com
El proceso de Globalización, dividido en sus fases económica, cultural y política, permite la facilidad en los niveles de producción y de distribución de información a lo largo del mundo. Gracias a los avances tecnológicos, podemos lograr conectarnos en segundos a cualquier parte del mundo, algo que era impensado el siglo pasado. Pero qué es, cuándo comenzó y por qué es tan importante? En este video, te contamos todo esto, de una manera simple y resumida, para que no te quede ninguna duda!
#Globalización</t>
  </si>
  <si>
    <t>Lo usamos cada día para ver series, películas, hablar con amigos... Pero no nos hemos preguntado cómo se creó Internet. En el vídeo de hoy, vamos a ver de dónde salió esta loca idea de Internet.
Voy a subir más videos próximamente. Suscribíos para no perderos ningún video:
https://www.youtube.com/channel/UC8u84f21fRdQV0iJnC92E2A?sub_confirmation=1
Comparte este vídeo si lo has encontrado interesante:
https://youtu.be/GkA5WOeLWbM
Sígueme también en las redes sociales:
Instagram – https://www.instagram.com/menterobot/
Twitter – https://twitter.com/menterobot/</t>
  </si>
  <si>
    <t>Como crear un portafolio digital, por Kaori LOPEZ.</t>
  </si>
  <si>
    <t>AQUÍ VEMOS COMO SE CREA LA PRESENTACIÓN DE GOOGLE, Y COMO CAMBIAMOS SU DISEÑO.</t>
  </si>
  <si>
    <t>Conversatorio sobre "Enseñanza de la lectura y escritura" de la Dra. Paula Carlino realizado en la Universidad Nacional de José C. Paz.</t>
  </si>
  <si>
    <t>Informació de diferents experts i expertes de la Universitat Autònoma de Barcelona en relació amb la malaltia COVID-19 originada pel coronavirus SARS-CoV-2.
Información de diferentes expertos y expertas de la Universitat Autónoma de Barcelona en relación con la enfermedad COVID-19 originada por el coronavirus SARS-CoV-2.
https://www.uab.cat/coronavirus/</t>
  </si>
  <si>
    <t>Si te gustó este video ¡Suscribite acá! http://bit.ly/365lUrZ
Conocé más sobre la plataforma Ticmas en Ticmas.com</t>
  </si>
  <si>
    <t>Esta es a primera parte de una serie de conferencias sobre la educación a distancia en la coyuntura que se vive con la problemática del COVID-19. Inicia por la definición de los términos sobre educación a distancia, lo que es y no es para clarificar la diferencia con la educación online y el diseño instruccional.  Se abordan los elementos que la componen, se describe la problemática que se enfrenta en la coyuntura de la pandemia a nivel del hogar para luego, y tomando en cuenta todo esto, brindar una serie de pasos concretos para diseñar planeaciones y procesos de evaluación en actividades viables, autónomas, posibles y flexibles en las que las y los estudiantes de la educación básica y media superior puedan fortalecer sus aprendizajes en las condiciones de acceso a los diversos medios de comunicación y con el apoyo de sus padres, madres y/o tutores de acuerdo a los diferentes contextos en los que viven.</t>
  </si>
  <si>
    <t>_xD83D__xDEA9_ESTOS SON LOS PUNTOS DE INTERÉS DEL VIDEO: 
00:00 Bienvenida
02:20 A dónde va la educación
04:30 Es necesario enseñar a los alumnos a tomar sus decisiones
06:40 La formación debe ser multicanal
09:30 Las instituciones educativas deben dar contenidos abiertos
Nuevos Másters de Marketing Digital_xD83D__xDC49_ visita la web de https://tekdi.education/
_xD83C__xDFA7_Escucha mi podcast diario en SPOTIFY https://open.spotify.com/show/2ubXOBWm68PmnVOQZYeGlv  
════════════════════════════════════════
_xD83D__xDD0A_SUSCRÍBETE al podcast diario:
★Spotify ................. ▶▶ https://spoti.fi/2UGgAGt ◀◀ 
★Google Podcast ................. ▶▶ http://bit.ly/2FowYpH ◀◀ 
★Ivoox ................. ▶▶ https://www.ivoox.com/podcast-podcast-juan-merodio_sq_f18341_1.html ◀◀ 
★iTunes ................. ▶▶ https://itunes.apple.com/es/podcast/podcast-de-juan-merodio/id393282912?mt=2 ◀◀ 
════════════════════════════════════════
⭐⭐⭐⭐⭐⭐⭐⭐⭐⭐⭐⭐⭐⭐⭐⭐⭐⭐⭐⭐⭐
════════════════════════════════════════
REDES SOCIALES:
★ Twitter: ............... https://twitter.com/JuanMerodio 
★ Facebook ........... https://www.facebook.com/JuanMerodio
★ Instagram ........... http://instagram.com/juanmerodio
════════════════════════════════════════
#marketingdigital #juanmerodio #educacion</t>
  </si>
  <si>
    <t>Conferencia organizada por la Secretaría de Posgrado y Educación Continua - Octubre 2017.</t>
  </si>
  <si>
    <t>Hablamos con Santiago Niño - Becerra, catedrático de Estructura Económica por la Universitat Ramon Llull, sobre inflación y deuda pública ¿A dónde deben ir dirigidas las ayudas europeas?
Síguenos en directo a partir de las 8:00AM ➡️ https://bit.ly/2Ts9V3p
Suscríbete a nuestro canal: https://bit.ly/3jsMzp2
Visita Negocios TV https://bit.ly/2Ts9V3p
Más vídeos de Negocios TV en Youtube: https://bit.ly/3edxt61
Síguenos en Instagram: https://bit.ly/3oytWnd
Twitter: https://bit.ly/3jz6Lpt
Facebook: https://bit.ly/3e3kIuy
#Ayudas #Inflación #Deuda</t>
  </si>
  <si>
    <t>Colegio Cooperativo Monseñor Ismael Perdomo
Estudiante: Hary Escobar Barreto  Curso: 1102
Docente: Yeison Contreras</t>
  </si>
  <si>
    <t>Crea un sitio web educativo LMS como grandes universidades del mundo con Wordpress y Moodle,
¡sin necesidad de tener experiencia!
Aquí tienes lo que necesitas para empezar.
Obtén hosting web: https://www.darrelwilson.com/hostinger (Usa el código Darrel para tener el 10%
de descuento cuanqluier plan)
Obtén 20% en el tema de Wordpress más popular del mundo: https://www.darrelwilson.com/divi20
Obtén el plugin de tablas para cursos: https://www.darrelwilson.com/product-table
Descarga plantillas educativas GRATIS: https://www.darrelwilson.com/product/divi-lms-layout/
Moodle y Wordpress son las CMS y LMS más populares en internet, y en este tutorial, te enseñaré a
usar ambas.
No hay otro tutorial de LMS y Wordpress en internet con Moodle y Wordpress, por lo que estoy muy
emocionado de compartir esto con ustedes. Me tomó cerca de un mes hacerlo, y espero que les sea de ayuda.
Sitios web que pueden ayudarte con tu sitio LMS Wordpress:
Upwork - http://www.upwork.com
Freelancer - https://www.freelancer.com
PixaBay - https://www.pixabay.com
Freepik - https://www.freepik.com
TinyJpeg - https://tinyjpg.com/
Obtén un logo profesional - https://www.darrelwilson.com/fiverr
Tabla de tiempos para el tutorial de Wordpress y Moodle.
00:00:00 Introducción
00:14:14 Obtén tu hosting con Hostinger
00:22:22 Ajustes generales de Wordpress
00:26:09 Instala el tema de Wordpress
00:30:30 Crea páginas y menús
00:34:15 Crea un sitio web con Divi
00:59:49 Constructor de tema Divi
01:09:39 Añade cursos a tu sitio web
01:18:01 Añade un plugin para mostrar los cursos
01:34:43 Diseña las páginas de Carro y Checkout
01:39:23 Plataformas de pago
01:48:05 Personalizador de e-mails.
01:51:03 Introducción a Moodle.
01:57:57 Ajustes y preferencias de Moodle
02:10:25 Crear un curso
2:38:05 Libro de calificaciones
2:49:10 Métodos de inscripción
2:57:01 Conclusiones
03:02:39 ¡Terminaste!
¡Gracias por ver el video amigos! ¡Espero que ya tengan su sitio web LMS con trabajando con
Wordpress! ¡Buena suerte y espero que disfruten del tutorial!</t>
  </si>
  <si>
    <t>Universidad Veracruzana 
Actividad 12 Literacidad Digital-Heidi Sorcia Gestión 101G</t>
  </si>
  <si>
    <t>El mundo cambió y nuestras habilidades deben adaptarse a las nuevas exigencias y realidades del trabajo, en pocas semanas hemos pasado de una realidad cuasi-virtual a una completamente virtual, la transformación que iba a durar años se hizo en pocos días, pero las habilidades necesarias para trabajar en el nuevo mundo no se desarrollan tan rápido como se producen los cambios; inclusive, probablemente no tienes claro ni siquiera cuales son las nuevas habilidades que requiere el mundo laboral actual.
En esta capacitación te explicamos qué son las habilidades digitales, cómo se relacionan con otro tipo de habilidades, que las determinan y cómo se pueden evaluar y desarrollar.</t>
  </si>
  <si>
    <t>Campaña de difusión</t>
  </si>
  <si>
    <t>Este archivo multimedia es una actividad creada con fines educativos, de un estudiante de bachillerato a distancia con la finalidad de saber mas sobre el tema de las tecnologías de información y comunicación.</t>
  </si>
  <si>
    <t>Vídeo 2 de Unidad 2 del MOOC #CDigital_INTEF. Edición 2015.</t>
  </si>
  <si>
    <t>Contextualización curricular:  Plan Común de Formación General 
Asignatura: Educación Ciudadana
Nivel: 4° medio
Tema: La ciudadanía digital: riesgos y oportunidades.
OA 6: Evaluar oportunidades y riesgos de los medios de comunicación masiva y del uso de las nuevas tecnologías de la información en el marco de una sociedad democrática, reflexionando personal y grupalmente sobre sus implicancias en la participación ciudadana y en el resguardo de la vida privada.
Links: 
https://www.diarioconcepcion.cl/politica/2019/12/23/por-que-chile-aun-no-puede-
implementar-bien-el-voto-electronico.html
https://www.latribuna.cl/desarrollo/2019/11/11/redes-sociales-protagonista-clave-del-
estallido-social.html
Producción: Fundación Chile 
Realización: Merkén Studios 
Para el Ministerio de Educación de Chile 2020</t>
  </si>
  <si>
    <t>Un video animado en el que le contamos qué son las Competencias del Siglo XXI y su importancia.
Lo invitamos a conocer en nuestra página web un espacio en el que se hará referencia a artículos, documentos y reflexiones, así como también se visibilizarán propuestas educativas que tanto al interior de la escuela como por fuera de ella promueven el desarrollo de las competencias del siglo XXI.
http://www.compartirpalabramaestra.org/etiqueta/competencias-del-siglo-xxi</t>
  </si>
  <si>
    <t>Hablamos de la innovación educativa en las aulas. La innovación educativa es cualquier cambio que plantee de un modo sistémico y sostenido en el tiempo una mejora profunda, continua y real. Debe haber reflexión sobre datos, planificación operativa y estratégica y un seguimiento y evaluación posterior, para convertir la innovación en un proceso.
Soy Eva Teba, docente e investigadora, y una apasionada de la educación. En mi canal os cuento cuál es mi visión de la educación, y por qué si queremos construir una sociedad próspera y más humana el camino es la educación con sentido.
En mi web (https://evateba.com/) encontraréis mi decálogo educativo para transformar el mundo, además de artículos de opinión sobre el mundo de la educación visto a través de mi mirada basada sobre todo en mi experiencia.</t>
  </si>
  <si>
    <t>¿Cuáles son las habilidades digitales necesarias para adaptarse al siglo XXI? ¿Por qué son necesarias?</t>
  </si>
  <si>
    <t>Los Estados Unidos siempre ha dominado el ranking de las mejores universidades del mundo, y lo mas seguro es que lo siga haciendo por un tiempo. 
La industrialización de China ha pasado formalmente por un proceso educativo a escala global, como nunca se había visto. Ahora hay mas graduados de la Universidad Chinos que todos los demas paises de la Unión Europea juntos.
Hoy ya China adelanto a paises como Francia con mas universidades dentro de las mejores del mundo y sus ranking académicos la sitúan por delante de sus socios occidentales.
Sígueme en Facebook : https://www.facebook.com/HipotesisdePoder/
Sígueme en Twitter: https://twitter.com/HipotesisPoder
Canal Secundario: https://www.youtube.com/channel/UCMgZaDImX__UotDBvHZByCg
Sígueme en Instagram : https://www.instagram.com/alejandro.rodriguez15/
Pagina web: http://hipotesisdepoder.weebly.com/
Apóyame en Patreon: https://www.patreon.com/hipotesisdepoder
Contacto : mario12rodriguez@gmail.com
Edición: Signal Publicidad 
_________________________________________________________________
Este vídeo fue una creación audiovisual que se baso en la recopilación de distintos medios visuales para la realización de este vídeo. La Ley de Copyright de los Estados Unidos de América especifica que todo vídeo cuyo propósito sea entretenimiento, reportaje, educación, investigación o comentario no infringe los derechos originales de los contenidos y por lo tanto se considera "Uso Justo" o "Fair Use" bajo la ley estadounidense.
Fair use is a legal doctrine that promotes freedom of expression by permitting the unlicensed use of copyright-protected works in certain circumstances. Section 107 of the Copyright Act provides the statutory framework for determining whether something is a fair use and identifies certain types of uses—such as criticism, comment, news reporting, teaching, scholarship, and research—as examples of activities that may qualify as fair use.
Para más información/ for more information : https://www.copyright.gov/fair-use/more-info.htm
La importancia de los estudiantes chinos y la educación superior china no parece muy evidente pero cambiara la dinámica de la educación global por las siguientes décadas. 
_________________________________________________________________
Sígueme en Facebook : https://www.facebook.com/HipotesisdePoder/
Sígueme en Twitter: https://twitter.com/HipotesisPoder
Canal Secundario: https://www.youtube.com/channel/UCMgZaDImX__UotDBvHZByCg
Sígueme en Instagram : https://www.instagram.com/alejandro.rodriguez15/
Pagina web: http://hipotesisdepoder.weebly.com/
Apóyame en Patreon: https://www.patreon.com/hipotesisdepoder
Contacto : mario12rodriguez@gmail.com
Edición: Signal Publicidad 
_________________________________________________________________
Este vídeo fue una creación audiovisual que se baso en la recopilación de distintos medios visuales para la realización de este vídeo. La Ley de Copyright de los Estados Unidos de América especifica que todo vídeo cuyo propósito sea entretenimiento, reportaje, educación, investigación o comentario no infringe los derechos originales de los contenidos y por lo tanto se considera "Uso Justo" o "Fair Use" bajo la ley estadounidense.
Fair use is a legal doctrine that promotes freedom of expression by permitting the unlicensed use of copyright-protected works in certain circumstances. Section 107 of the Copyright Act provides the statutory framework for determining whether something is a fair use and identifies certain types of uses—such as criticism, comment, news reporting, teaching, scholarship, and research—as examples of activities that may qualify as fair use.
Para más información/ for more information : https://www.copyright.gov/fair-use/more-info.htm</t>
  </si>
  <si>
    <t>Crea tu propias aula y cursos virtuales con MilAulas. No necesitas instalar nada. Curso 100% online en https://evacooperativa.juanmontalvoloja.edu.ec/</t>
  </si>
  <si>
    <t>Victoria Suárez es madre y emprendedora y comparte su idea para mejorar la educación: personalizarla. Victoria Suárez is an uruguayan entrepreneur who co-founded Sparkids, and educational startup. This talk was given at a TEDx event using the TED conference format but independently organized by a local community. Learn more at https://www.ted.com/tedx</t>
  </si>
  <si>
    <t>Presentación de la primera parte de la segunda unidad de trabajo para los módulos de Habilidades sociales y Dinamización grupal, dedicado a caracterizar a los grupos.</t>
  </si>
  <si>
    <t>Para obtener GRATIS estos formado debes: 1) suscribirte al canal; 2) escribir tu email en un comentario; 3) compartir el video.</t>
  </si>
  <si>
    <t>La teoría de Piaget argumenta que tenemos que conquistar cuatro etapas de desarrollo cognitivo:
1. Etapa sensoriomotriz
2. Etapa preoperacional
3. Etapa de operaciones concretas 
4. Etapa de operaciones formales
Solo una vez que hemos pasado por todas las etapas, lo cual puede variar en edad, podemos alcanzar la inteligencia humana completa.
Gracias especiales a nuestros patrocinadores: Ville Medeiros, Chutimon Nuangnit, Cedric Wang, Mike, Eva Marie Koblin, Julien Dumesnil, Mathis, y los demás. ¡Son increíbles! 
Únase a nuestros seguidores y ayúdenos a llegar a estudiantes y maestros de todo el mundo con videos amigables que explican cosas difíciles de manera simple. Suscríbase a nuestro canal, escriba un comentario o apóyenos como patrocinador: www.patreon.com/sprouts
Guión: Jonas Koblin
Dibujos: Pascal Gaggell
Hecho con: Minutevideos.com
Traducción y doblaje: Cynthia Borja
Guión completo:
https://drive.google.com/file/d/1RPC8simJCvrT5uxNpbtqPYuRxkEj1Pv9/view?usp=sharing
Fuentes:
https://appsychology.com/Book/Developmental/cognitivedevelopment.htm
https://en.wikipedia.org/wiki/Piaget%27s_theory_of_cognitive_development
https://en.wikipedia.org/wiki/Jean_Piaget
https://www.biography.com/scientist/jean-piaget</t>
  </si>
  <si>
    <t>#Pedagogía #Educación #Aprendizaje
Los Ambientes Virtuales de Aprendizaje y sus Modalidades | E-Learning B-Learning, M-Learning y S-Learning
Pedagogía MX es un canal creado para compartir y difundir el conocimiento pedagógico de una manera audio visual. En este canal encontrarás contenido como biografías de Pedagogos, teorías, postulados, modelos educativos, noticias de educación, entre otras cosas.
Suscríbete Pedagogía MX.
Correo:
totalpedagogiamx@gmail.com
Facebook:
https://www.facebook.com/Totalpedagog%C3%ADamx-Pedagog%C3%ADa-2027536500810890
Grupo de Facebook:
https://www.facebook.com/groups/254305575674400/
Podcast Spotify:
https://open.spotify.com/show/14z0nikCUkoKWcDY0uPFVh?si=x-OS9Ha1TFmB1YMOR0VH5g
Pedagogía MX:
https://www.youtube.com/channel/UC5CytXzXpOjaecvCYsNKh5g</t>
  </si>
  <si>
    <t>PARA HOY UNA RECETA CON MUCHISIMO SABOR Y SABROSURA, UNOS GARBANZOS QUE ESTAN DE LOCOS!!!
SIGUEME : 
- https://www.instagram.com/jeison_rodriguezchef/
INGREDIENTES: 
- 500 GR GARBANZOS
- CHORIZOS
- CEBOLLA MORADA 60 GR
- CEBOLLA EN RAMA 60 GR
- AJO 50 GR
- PIMENTON VERDE Y ROJO 80 GR
- PIMIENTA NEGRA 
- SAL
- CALDO DE RES
- CILANTRO
- AJI TOPITO 60 GR
- HOJAS DE COL 3
- CURCUMA
- PEPERONCCINO
- TOMATE ROJO 80 GR  
- PEREJIL 30 GR
#GARBANZOS #SABORESDEMICASA #CHEFJEISONRODRIGUEZ</t>
  </si>
  <si>
    <t>Probablemente hayas oído que China no sólo es el país más poblado del mundo, sino también un país con una economía muy desarrollada. Y a pesar del hecho de que en la opinión pública China a menudo se asocia con productos baratos e incluso falsos, de hecho, es también un país con grandes tecnologías. Se incluye regularmente en la clasificación de los países más innovadores del mundo, y muchos inventos locos sólo se pueden encontrar allí y en ningún otro lugar del planeta Tierra. ¿No te lo crees? Entonces siéntate. Hoy hablaremos de las tecnologías más locas que se pueden encontrar en China.</t>
  </si>
  <si>
    <t>Inteligencia Artificial: 
* Definición de la Inteligencia Artificial
* Fundamentos de la Inteligencia Artificial
* Historia de la Inteligencia Artificial
* Avance Actual de la Inteligencia Artificial</t>
  </si>
  <si>
    <t>La Coordinación de Investigación en Salud presenta el Seminario de Investigación: Programa de Investigación Integral en cáncer, a cargo del Dr. Julio Roberto Reyes Leyva Director del Centro de Investigación Biomédica de Oriente.</t>
  </si>
  <si>
    <t>Silvia Congost, psicóloga experta en autoestima y dependencia emocional, impartió en el espacio COMO de Madrid su conferencia 'Autoestima para el éxito'. 
En esta interesantísima conferencia, Silvia Congost nos hace tomar conciencia de la forma en la que nuestra autoestima nos ayuda o perjudica a la hora de conseguir nuestros objetivos y hasta qué punto somos capaces de trascender las dificultades de nuestra vida para llegar donde deseamos con éxito.
¿Quieres saber las claves para creer en ti y mejorar tu autoestima? Silvia Congost te aporta herramientas en esta charla inspiradora y motivacional. Y para profundizar aún más tanto en la autoestima como en las relaciones, Silvia estrena su nuevo taller 'Repensando el amor' con una única edición en 2019: 15 de junio (BARCELONA). Más información en www.silviacongost.com/talleres.
Silvia Congost es conferenciante nacional e internacional y cuenta con 17 años de experiencia. Referente nacional en España en autoestima y dependencia emocional, tiene centros en Barcelona, Girona y Madrid, además de realizar terapia por Skype. 
Es autora de 7 libros e imparte talleres muy transformadores, grupos de autoestima y seminarios. Su presencia en los medios de comunicación es habitual y su nuevo proyecto '10 maneras de cargarte tu relación de pareja' la ha llevado a subirse a los escenarios de algunos de los mejores teatros españoles.
Suscríbete al canal de YouTube de Silvia Congost y síguela en sus redes sociales:
*Canal de YouTube: https://www.youtube.com/user/rumbohaciaelexito
*Instagram: @silviacongost
*Facebook: silvia.congost
*Twitter: @silviacongost</t>
  </si>
  <si>
    <t>Publico una serie de videos sobre Conocimientos Pedagógicos, Razonamiento Lógico Matemático y Comprensión Lectora. Para el proceso de Nombramiento Docente.</t>
  </si>
  <si>
    <t>La Coordinación de Investigación en Salud presenta el Seminario de Investigación, en colaboración con el equipo de Archives of Medical Research el tema: Historia y políticas editoriales de la revista.</t>
  </si>
  <si>
    <t>Conferencia sobre las políticas educativas en la de pandemia. Covid-19
Analysis y propuesta</t>
  </si>
  <si>
    <t>Donaciones _xD83D__xDC4D_: http://paypal.me/soyuniversitario
_xD83D__xDC4D__xD83D__xDCBB__xD83D__xDCF1_ Sígueme en YouTube #SoyUniversitario: 
https://www.youtube.com/channel/UCHWSaTDZv4MQpqpAlaY7F_w
Facebook Informantes Bienestar: https://www.facebook.com/InformantesDeBienestar/
_xD83D__xDE31_ ¿Qué estudiar para el examen de ingreso a la universidad EXANI-II, IPN, UNAM, UAM, UV, BUAP:  https://youtu.be/-WbeUVwQ6rI
_xD83D__xDE31_ Simulador de Examen EXANI-II, IPN, UNAM, UAM, UV, BUAP:  https://youtu.be/-WbeUVwQ6rI
_xD83D__xDE31_ #Guía de ingreso a la Universidad EXANI-II, IPN, UNAM, UAM, UV, BUAP:
https://youtu.be/-WbeUVwQ6rI
Tik Tok: https://vm.tiktok.com/ZMe8o9R3K/
Instagram: https://www.instagram.com/antoniojacobetc?r=nametag
Facebook: https://www.facebook.com/Soy-Universitario-110666100519818/
Twitter: https://twitter.com/SoyUniversitar4?s=09
YouTube: https://www.youtube.com/channel/UCHWSaTDZv4MQpqpAlaY7F_w
Correo _xD83D__xDCE7_: soyuniversitarioo@gmail.com</t>
  </si>
  <si>
    <t>Tutorial Windows 10 en Español. Conocimientos Básicos. Aprende lo esencial del Windows 10 en unos minutos. Sus características y forma de trabajar de una manera rápida, sencilla y eficaz en un Tutorial de Windows 10 actualizado, Pruébalo!!</t>
  </si>
  <si>
    <t>Les contamos sobre el Positivismo, una de las doctrinas filosóficas más importantes del siglo XX. Un sistema de pensamiento creado por el pensador Augusto Comte, y que impulsada por la revolución científica y la explicación de la naturaleza, daría forma a las Ciencias Sociales.
Patreon ► http://www.patreon.com/bullymagnets
Nuestro nuevo libro lo puedes conseguir AQUÍ► https://amzn.to/2YLs95d
También en librerías principales de todo el país.
iTunes podcast ► http://apple.co/1NriVwh
Pasa a nuestra tienda oficial ► http://bit.ly/2ppiMo6
Ubicación de la tienda distribuidora oficial en la ciudad de México ► http://bit.ly/2sL3lYI
Facebook ► http://on.fb.me/eun1tA
Twitter ► http://bit.ly/gD0BP2
Tumblr ► http://bullymagnets.tumblr.com/
Visita nuestro sitio oficial ► http://www.bullymagnets.com
En la producción de este video:
Antonio Romero: @Antonimo_romero
Enrique López: @Reijard
Andrés Alba: @Andres_BMs
Luis Felipe Ángeles: @Luisfelipe_ang
#Historia #Documental #Edutubers</t>
  </si>
  <si>
    <t>Entra en http://one.elpais.com
Suscríbete a nuestro canal de youtube: http://bit.ly/1JHCOQ1
Síguenos en Facebook: https://www.facebook.com/elfuturoesone
Síguenos en Twitter: http://www.twitter.com/elfuturoesone
Todos sufrimos un amigo (virtual) de esos que comparten su vida en las redes sociales. Conocemos sus rutinas de ejercicio, las delicias gastronómicas que degustan, las ciudades que visitan, las cucamonas que les dedican sus hijos, incluso la cara que tienen al despertar antes del primer café. Los hay chistosos, imitadores de Paulo Coelho, analistas políticos y sosias de Ferrán Adriá. Observamos todo con una mezcla de pudor y curiosidad malsana. Imaginamos conocer cómo es su vida a través de lo que nos muestran. Que es (aparentemente) mucho. O tal vez nada. Son los signos de unos tiempos híperconectados y exhibicionistas, en los que cualquiera puede abrir una ventana en su casa e invitar al mundo entero para que se asome.
Pero hay quien lleva esa conectividad mucho más lejos. Tanto como para saber que ayer, 14 de agosto, Chris Dancy estaba en Huston después de una semana movidita que comenzó en Franklin y en la que también pernoctó en Charlottesville y Nashville. El martes durmió siete horas y el miércoles comió comida mexicana. Pasó 26 horas y media frente al ordenador, aunque la mitad del tiempo no lo hizo trabajando, y anduvo casi 66.000 pasos. Todos estos datos son públicos y pueden consultarse en su página web. Y a Dancy no parece importarle que cualquiera sepa qué está haciendo en cada momento de su vida: “la privacidad es una mera construcción social. Es ilusorio pensar que tienes control sobre tu vida. Para mí, destruir mi privacidad ha sido la cosa más importante que he construido”.
Su pasión por medir absolutamente todo y registrar sus actividades (incluso aquellas que parecen insignificantes) no es nueva. Comenzó cuando el mundo era analógico. Las fotos, menús de restaurantes o copias de las cartas recibidas fueron sustituidas por grabaciones de sus consultas médicas, mediciones de sus constantes vitales y geolocalizaciones de sus viajes. Poco a poco Dancy se fue convirtiendo en “una wikipedia de mí mismo”. Y decidió sacarle partido a esta suerte de autoconocimento digital.
A sus 47 años, este antiguo consultor tecnológico se autodenomina “el hombre más conectado del mundo” y tiene argumentos para hacerlo. Enumerar una lista actualizada con todos los sensores, gadgets, aplicaciones y herramientas tecnológicas que le rodean en su vida cotidiana es casi imposible, porque seguramente habrá añadido alguno en el tiempo que se tarda en leer estas líneas. Su atuendo habitual incluye un smartwacht, una cámara que fotografía cuanto sucede a su alrededor cada dos segundos, un sensor que monitoriza su ritmo cardíaco, unas Google Glass y una muñequera inteligente que mide su estado físico. Por supuesto, todos ellos conectados para poder enviar datos que posteriormente analizará para modificar -si fuera necesario- sus comportamientos y rutinas. Su casa es también un laboratorio tecnológico: si alza la voz durante una conversación las luces se vuelven más tenues; si pasa demasiado tiempo sentado en el ordenador, comienza a sonar música para animarle a que se mueva; y un sensor en la mesita de noche registra su respiración, sonidos y movimientos mientras duerme. Dancy asegura que este seguimiento le ha permitido optimizar su vida, desde las calorías que consume hasta su bienestar espiritual.
Escuchar la descripción de los análisis y calendarios que Dancy organiza entorno a los datos que recoge de sus actividades puede dejarte exhausto. Pero él asegura que su ejemplo demuestra que el comportamiento es el interfaz del futuro. Que puede controlar su conducta “sustentado por la tecnología e influido por sistemas, pero no controlado ni dictado por ellos”. Para el resto, siempre nos quedará Instagram.
Texto: José L. Álvarez Cedena
#VodafoneOne</t>
  </si>
  <si>
    <t>En este video revisamos qué son las buenas prácticas del encuentro entre escuelas, sugeridas en el documento Orientaciones para la organización y realización de las tres sesiones Compartir buenas prácticas. Encuentro entre escuelas. 
#ConsejoTécnicoEscolar
#SantosRivera
#EncuentroEntreEscuelas</t>
  </si>
  <si>
    <t>Inscríbete al próximo webinario que realizaremos en octubre 2020 sobre ABP:
https://forms.gle/j45Swd2tB7e8nVNi7
Maryuri Agudelo 
Licenciada en Informática, especialista en Diseño de Ambientes de Aprendizaje de la Universidad Minuto de Dios y Magíster en Desarrollo Educativo y Social en la Universidad Pedagógica Nacional-Cinde. Con formación y experiencia en diseño, implementación, desarrollo y evaluación de proyectos sociales y educativos, coordinación, asesoría y seguimiento de procesos de formación y actualización pedagógica, investigativa, didáctica y metodológica de docentes y directivos docentes, uso de las Tecnologías de la Información y la comunicación en procesos educativos.
_xD83D__xDCBB_ Conozca el curso virtual Aprendizaje Basado en Proyectos-ABP en la práctica pedagógica https://www.magisterio.com.co/curso/aprendizaje-basado-en-proyectos-abp-en-la-practica-pedagogica-curso-virtual-13
_xD83D__xDCBB_ Conoce todos nuestros cursos virtuales
https://www.magisterio.com.co/cursos
Síguenos en ↴
Facebook ☛ https://www.facebook.com/magisterio
Instagram ☛ https://www.instagram.com/magisteriotv
Twitter ☛ https://twitter.com/magisterio
Linkedin ☛ https://www.linkedin.com/company/editorial-magisterio
Conozca nuestro sitio web ↴
https://www.magisterio.com.co/</t>
  </si>
  <si>
    <t>Ciclo de conversatorios con la Dra. Marina Ferroni (UBA), Dra. Virginia Jaichenco (UBA), estudiantes y profesores. Transmitido en vivo por el Instituto de Formación Docente de Villa Regina, Río Negro, Argentina el 17/06/2020</t>
  </si>
  <si>
    <t>MÁXIMO ESTUPIÑÁN MALDONADO es un Experto Internacional en Currículum por Competencias, ha prestado servicios como gerente nacional de proyectos y consultor para el BANCO ALEMÁN DE DESARROLLO KFW, ORGANIZACIÓN DE LOS ESTADOS IBEROAMERICANOS PARA LA EDUCACIÓN LA CIENCIA Y LA CULTURA OEI, UNIÓN EUROPEA, USAID-AMCHAM-RESEARCH TRIANGLE RTI, UNIVERSITY OF PENSILVANIA GRADUATE SCHOOL OF EDUCATION -TINKER FOUNDATION-FABRETTO, CHRISTIAN AID-BANCO INTERAMERICANO DE DESARROLLO BID. 
Su campo de trabajo es la aplicación de las Metodologías Internacionales AMOD, DACUM, SCID, ANÁLISIS OCUPACIONAL, ANÁLISIS FUNCIONAL y ETED de Francia para la Identificación de Competencias Profesionales, el Diseño de Currículos por Competencias, la Optimización de la Oferta Académica, la Certificación progresiva, el Reconocimiento de aprendizaje laboral y Cualificación de la PEA, la Gestión del Conocimiento, el Aprendizaje Organizacional, las Universidades Corporativas, la Gestión de la Calidad Educativa, el Incremento de Indicadores Nacionales de Aprendizaje y la Innovación de los Sistemas Educativos. 
Tiene una vasta experiencia dirigiendo transformaciones curriculares por competencias en múltiples universidades  en la totalidad de sus carreras, lo que lo posicionan como el mayor experto del país y uno de los más relevantes en América Latina en identificación de competencias en más de 100 campos profesionales, tales como Ingeniería Agrícola, Ingeniería Agronómica, Ingeniería en Sanidad Vegetal,Turismo Rural, Ingeniería en Recursos Naturales, Gestión Ambiental, Áreas Protegidas, Ingeniería Forestal, Manejo Forestal, Ingeniería Forestal, Restauración Forestal, Desarrollo Rural, Agronegocios, Ingeniería en Zootécnica, Ingeniería de recursos renovables, Cadena de valor del cacao, Medicina Veterinaria, Administración de empresas, Administración aduanera, Administración hotelera, Gestión de empresas turísticas, Economía, Contabilidad, Marketing, Publicidad, Diseño, Comunicación, Derecho, Relaciones Internacionales, Diplomacia, Ingeniería civil, Ingeniería de sistemas, Ingeniería de telecomunicaciones, Arquitectura, Pedagogía, Teología, Música y Canto, Promoción social, Trabajo social, Psicología, Química, Medicina humana, Odontología, Enfermería, Farmacia, Tecnología médica, Global Management, Stategic Marketing, Global Finance, Natural Resource Management, e International Development. 
Posee una de las mayores experticias internacionales en formación de especialistas en competencias, ha entrenado personalmente en más de 395 catedráticos de comisiones curriculares, entrenado a más de 2765 catedráticos sílabos por competencias y a cientos de docentes en Didáctica de la Educación Básica, Técnica y Superior, ha diseñado Currículos Nacionales de Educación Básica para tres países, ha gerenciado la producción editorial de más de 70 textos escolares en Educación Inicial, Educación Primaria y Secundaria. Posee más de 20 libros publicados, sus investigaciones se encuentran en prestigiosas bibliotecas de universidades como: STANFORD, CHICAGO, PRINCENTON, TORONTO Y NEW YORK. 
Es catedrático internacional de postgrado en el diseño e implementación de diversas maestrías de la Universidad Americana, Universidad Católica Juan Pablo II y Universidad de Occidente, dicta cátedras de las más innovadoras de la región y el mundo tales como: la Gestión de Sistemas de Calidad a gran escala, Diseño de Currículos y Sílabos por Competencias, Evaluación de Competencias, Estándares y Acreditación de la Calidad Educativa, Normas ISO 10015 y 21001, Análisis de la Educación Tradicional y Retos de Excelencia en Universidades del Siglo XXI, Tendencias de la Educación Superior Siglo XXI, Impacto de la Educación en la PEA, Cadena de Valor en Sistemas Educativos, Cultura de Innovación en Educación, Analyzing Job Profiles Techniques, Competency, Credentialing, and Hiring Requirements Techniques, Métodos de Identificación de Competencias, Identificación de Nuevas Evoluciones Profesionales, Formación de Formadores, Sistemas de Reconocimiento de Aprendizajes Laborales, Programas de Formación Innovadores, Reconocimiento y Certificación de Proveedores de Talentos para Empresas, Cultura Organizacional de Alto Rendimiento, Metodologías de Evaluación del Rendimiento, Gestión del Conocimiento, Gestión Previsional Competencias, Gestión del Talento, Universidades Corporativas, Entornos Laborales del Futuro, Investigación científica aplicada a la Innovación y a la Gestión. Es el Gerente General del Center for Excellence in Education. 
AGRÉGATE AL GRUPO EN FACEBOOK :
 https://web.facebook.com/groups/72717... 
SUSCRÍBETE AL CANAL DE YOUTUBE OPEN DIDACTIC ACADEMY: https://www.youtube.com/channel/UC3kN... 
SOBRE EL CENTER FOR EXCELLENCE IN EDUCATION:
 http://centerforex.org/ 
CONSULTORÍAS y TALLERES NACIONALES E INTERNACIONALES: 
Teléfono Perú (+51) 939 263 285 
cee.director@yahoo.com</t>
  </si>
  <si>
    <t>Melanie Montes Silva (Cetys Tijuana)
Sofía Amavizca Montaño (Universidad de Sonora)
Gabriel Hernández Soto (Universidad Autónoma Metropolitana-Iztapalapa)
https://www.youtube.com/watch?v=MkhBQxjMFUY</t>
  </si>
  <si>
    <t>Te dejo algunas ideas generales de la Nueva Escuela Mexicana</t>
  </si>
  <si>
    <t>Modulo 1 de alfabetizacion digital dentro del marco del Curso de introduccion al trabajo de la oficina de empleo de Concepcion del uruguay, Entre Rios</t>
  </si>
  <si>
    <t>Universidad Autónoma de Tamaulipas  - Desarrollo de entornos de realidad virtual
Joaquin Pecina
Yajahira González Torres 
Vídeo acerca de la historia de la realidad virtual así como sus diferentes áreas de aplicación.
                                                ===Links===
Canal de S!ro Productions:
 https://www.youtube.com/watch?v=4gN8nXsLDlc
Canal de Top Ranking:
https://www.youtube.com/watch?v=8-lnSN0ITBc</t>
  </si>
  <si>
    <t>Actividades para dinamizar el proceso de mejora de la lectura realizadas el primero de primaria del CEIP Virrey Morcillo. Agradecemos  la colaboración de Sara García y Carmen María Molina.</t>
  </si>
  <si>
    <t>En este vídeo expongo algunas de las estrategias en las que me apoyaré, para facilitar el proceso de alfabetización de mis alumnos de  primer grado de educación primaria.</t>
  </si>
  <si>
    <t>Este video es el resultado de las actividades de extensión de la cátedra Prácticas Discursivas en el Ámbito Académico en Español de 2018, elaborado por estudiantes del Primer Año del Profesorado de Inglés en el "Instituto Superior de Formación Docente y Técnica N°48" (https://isfdyt48-bue.infd.edu.ar/sitio/) de Coronel Suárez, Buenos Aires, Argentina, a cargo del profesor Israel A. Chira.
Considerando que el conocimiento adquiere validez en tanto el mismo pueda ser difundido y  apropiado por la comunidad en la cual ha sido producido, se propuso que sea inherente a este espacio curricular la elaboración anual de un video sobre alfabetización académica, con el cual pueda socializarse este concepto que se viene desarrollando en el entorno anglosajón desde hace algo más de dos décadas, como traducción directa del término 'literacy', por el cual se entiende a la cultura escrita o letrada, cultura en torno a lo escrito en cualquier nivel educativo e incluso fuera del ámbito pedagógico, noción de gran interés en el mundo académico y que en gran medida engloba los contenidos de esta cátedra. 
De lo que se trata es de lograr que en la producción del video los/las estudiantes pongan en juego los modos de indagar, de aprender y de pensar en el área de estudio, modos vinculados principalmente con las formas de leer y de escribir que vamos desarrollando a lo largo de la asignatura y al interior de la comunidad académica a la que pertenecemos.
Esperamos, pues, que este video producido con gran responsabilidad y entusiasmo por estudiantes del Instituto sea de utilidad para los/las visitantes de este canal de carácter académico.</t>
  </si>
  <si>
    <t>Extracto de video CDigital_INTEF2015 @manuel_area
(Gracias a la fuente)</t>
  </si>
  <si>
    <t>Nuestra asesora la Licda. Denisse Alemán nos explica lo que es el aprendizaje a distancia en estos momentos de cambios.  Los invito a verlos.</t>
  </si>
  <si>
    <t>Breve introducción a la ecuación cuadrática explicando qué es solucionar una ecuación y porqué algunas veces hay 1, 2 o ninguna solución, dentro del curso de ecuación cuadrática.
Curso completo de Ecuación Cuadrática/ Segundo grado:
https://www.youtube.com/playlist?list=PLeySRPnY35dF11EWceCxzKtcaZidCkXXh 
_________________________________________________________________
Si quieres ayudarme para que el canal siga creciendo puedes:
- Suscribirte: https://www.youtube.com/matematicasprofealex?sub_confirmation=1
- Contribuir al canal con una donación: paypal.me/profeAlex
- Hacerte miembro del canal: https://www.youtube.com/matematicasprofealex/join
_________________________________________________________________
Visita mi página web: www.MatematicasProfeAlex.com
Sígueme en mis redes sociales:
- Facebook: https://www.facebook.com/MatematicasProfeAlex
- Instagram: https://www.instagram.com/MatematicasProfeAlex
Contacto Únicamente negocios, prensa: manager.profealex@gmail.com
0:00 Saludo
0:15 Conceptos que debes saber
1:03 Características de las ecuaciones cuadráticas
3:33 Cómo resolver las ecuaciones cuadráticas
5:03 Solución del ejemplo
6:23 Solución del ejemplo 2
7:10 Ejercicio de práctica</t>
  </si>
  <si>
    <t>¡VISITA NUESTRA WEB! https://www.soydocentemaestroyprofesor.com/
✎ Coaching Educativo: Licenciada en Ciencias de la educación: Alba Jiménez. 
✎ ¡SE PARTE DE LA COMUNIDAD EXCLUSIVA DE ESTE CANAL!
ÚNETE A MIEMBROS DEL CANAL: https://www.youtube.com/channel/UCk6gDLXBSgjJh3AFpaAnJRA/join
O APOYANOS EN PATREON: https://www.patreon.com/soydocente
✎ PARA NEGOCIOS: soydocentemaestroyprofesor@gmail.com
► NUESTRAS REDES SOCIALES ◄
Instagram: https://www.instagram.com/soydocenteblog/
Facebook: https://www.facebook.com/soydocenteblog/
Twitter: https://twitter.com/soydocenteblog
Linkedin: https://www.linkedin.com/in/albajimenez/</t>
  </si>
  <si>
    <t>Te presentamos los equipos, que tanto médicos de referencia como médicos tratantes, tendrán a su disposición para ofrecer teleconsulta. En el IMSS contamos con la mejor de las tecnologías para fomentar el bienestar de nuestros pacientes. ¡Construyamos un México sano!
Telemedicina, innovación que acerca.
#ConectandoMédicosConMédicos
Para más información, consulta el manual de usuario Telemedicina en educacionensalud.imss.gob.mx/telemedicina 
Síguenos en:
Facebook- https://www.facebook.com/saberimss
Y
Twitter- https://twitter.com/Saber_IMSS
Derechos Reservados ©, Instituto Mexicano del Seguro Social, Centro Médico Nacional Siglo XXI, Av. Cuauhtémoc No. 330, colonia Doctores, Ciudad de México, 2018.</t>
  </si>
  <si>
    <t>Acompaña a la Dra. Sánchez y al Dr. Morales a conocer la interfaz que usarán en los equipos de Telemedicina. Médicos conectados a la distancia para ofrecer interconsulta
por el bienestar de los mexicanos.
Telemedicina, innovación que acerca.
#ConectandoMédicosConMédicos
Para más información, consulta el manual de usuario Telemedicina en educacionensalud.imss.gob.mx/telemedicina 
Síguenos en:
Facebook- https://www.facebook.com/saberimss
Y
Twitter- https://twitter.com/Saber_IMSS
Derechos Reservados ©, Instituto Mexicano del Seguro Social, Centro Médico Nacional Siglo XXI, Av. Cuauhtémoc No. 330, colonia Doctores, Ciudad de México, 2018.</t>
  </si>
  <si>
    <t>Conoce más sobre la Revista de Enfermería del Instituto Mexicano del Seguro Social, entra a: http://revistaenfermeria.imss.gob.mx/
Y conoce todo lo que tenemos para tu formación como profesional en enfermería.
Derechos Reservados ©, Instituto Mexicano del Seguro Social, Centro Médico Nacional Siglo XXI, Av. Cuauhtémoc No. 330, colonia Doctores, Ciudad de México, 2018.</t>
  </si>
  <si>
    <t>Tele VID te invita a compartir la Misa de hoy Sábado 18 de Julio de 2020.
#LaSantaMisa _xD83D__xDC49_ http://bit.ly/SantaMisaTeleVID  _xD83D__xDE4F_
Suscríbete a nuestro canal  _xD83D__xDC4D_ http://bit.ly/SuscribeteTeleVID _xD83D__xDCE2_
Oración para la Comunión Espiritual:
Creo, Jesús mío, 
que estás real 
y verdaderamente en el cielo 
y en el Santísimo Sacramento del Altar.
Os amo sobre todas las cosas 
y deseo vivamente recibirte 
dentro de mi alma, 
pero no pudiendo hacerlo 
ahora sacramentalmente, 
venid al menos 
espiritualmente a mi corazón. 
Y como si ya os hubiese recibido, 
os abrazo y me uno del todo a Ti.
Señor, no permitas que jamás me aparte de Ti. Amén
Lectio Divina: _xD83D__xDC49_ http://bit.ly/EvangelioDeHoy _xD83D__xDC48_
Santo rosario: _xD83D__xDC49_ http://bit.ly/SantoRosarioCatolico _xD83D__xDC48_
Un Nuevo Despertar: _xD83D__xDC49_ http://bit.ly/UnNuevoDespertarTeleVID _xD83D__xDC48_
Síguenos y haz parte de nuestro canal:
YouTube: https://www.youtube.com/c/TeleVID
Facebook: https://www.facebook.com/televid.tv
Twitter: https://twitter.com/Canaltelevid
Página web: http://www.televid.tv/
Haz tus donaciones en: http://televid.tv/donar/
#Misa #Eucaristia
Eucaristía de hoy Sábado 18 de Julio 2020, Santa Misa de hoy Sábado 18 de Julio 2020</t>
  </si>
  <si>
    <t>CURSO COMPLETO DE ALFABETIZACIÓN: 
https://www.youtube.com/playlist?list=PL3weZoli3qhBuJsye6dtoW_tnQDDu_gB6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</si>
  <si>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Enrique Dubois talks about why is recommended to focus on one only goal and why we should avoid multitasking.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</si>
  <si>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Richard speaks about how technology is changing the way we do business and the business environment in a highly digital economy.
Talk transcript coming soon on www.tedxoxbridge.com
Richard Heaslip has 20 years experience in various global leadership roles in fast-growing companies around the world. He joined Google in 2013 to set-up and lead the EMEA renewals team. Richard is an alumnus of the Saïd Business School MBA class of 1999.
This talk was given at a TEDx event using the TED conference format but independently organized by a local community. Learn more at http://ted.com/tedx</t>
  </si>
  <si>
    <t>David will discusses why digital literacy is so important for global communities and development.
David Timis is a Growth Engine Manager at Google, where he coordinates the most ambitious digital skills training program in Romania, Atelierul Digital. He is also an active member of the Global Shapers Community, a network of exceptional young leaders from around the world who are determined to make a positive contribution to their communities, and to society as a whole.
David was recently named the “Young Leader of the Year” in Romania by Revista CARIERE, as a result of his continuous work to promote education, digital skills, and entrepreneurship among young people, through initiatives such as Aspire for Teachers, Atelierul Digital and Startup Weekend Bucharest.
This talk was given at a TEDx event using the TED conference format but independently organized by a local community. Learn more at http://ted.com/tedx</t>
  </si>
  <si>
    <t>Álvaro González-Alorda is the co-founder of Emergap, a consultancy company specialized in innovation in emerging markets. He is professor of Innovation at ISEM (University of Navarra), Associate Business School professor, and visiting professor at INALDE Business School, among other business schools in Spain and America. He was educated at the University of Navarra (FCOM'96), at IESE Business School (PDD'06), and Harvard Business School (Program: Building Businesses in Emerging Markets '13). 
He is author of the following books: The next 30 years (Cheer-Planet, 2010) and The Talking Manager (Cheer-Planeta, 2011). His blog leads internationaly in the area of innovation: www.alvarogonzalezalorda.com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</si>
  <si>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</si>
  <si>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Carmen Bustos http://www.twitter.com/CarmenBustos Strategic Thinker, enthusiast about co-creation, innovation, design of services and social impact. Founder in Soulsight. She created awareness about the importance of design thinking to improve client's quality perception. She focused on the need of moving from a business focus to a people focus, where the person is in the middle of the process of design. The design attitude includes the need of being creative and empathetic. Some of the main ingredients are research, multidisciplinarity and prototyping.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</si>
  <si>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Productivity guru and coach David Allen talks about "Stress Free Productivity" at TEDxClaremontColleges.
About TEDx: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Credits:
Editor -- Jacqueline Legazcue
Camera crew -- Jacqueline Legazcue, Sam Jones, and Ted Neckar</t>
  </si>
  <si>
    <t>Federico Pascual is the Business Development Manager of Tyolabs, a Python/Django Shop &amp; Lab specialized in Internet applications with Artificial Intelligence Components.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</si>
  <si>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Prof. Elizabeth Stokoe takes a run on what she terms the “conversational racetrack”—the daily race to understand each other when we speak—and explains how to avoid  hurdles that trip us up and cause conflict.
Elizabeth Stokoe is a British scientist. She studies conversation analysis. She is a professor at Loughborough University. She graduated from the University of Central Lancashire (Preston Poly) in 1993 with a traditional psychology degree. Then Stokoe completed three years PhD research at Nene College (Leicester University) with Dr. Eunice Fisher.
Her research included videotaping interaction in university tutorials, and conducting conversation analyses of topic production, topic management, academic identity, and the relevance of gender. She developed these and other interests while working at the Institute of Behavioural Sciences (University of Derby, 1997-2000) and University College Worcester (2000-2002).
Stokoe joined the Department of Social Sciences at Loughborough in October 2002 and was promoted to Reader (2007) and Chair (2009). She teaches on the BSc Social Psychology programme, covering modules in relationships, qualitative methods and forensic psychology.
Stokoe developed the Conversation Analytic Role-play Method (CARM), an approach based on evidence about what sorts of problems and roadblocks can occur in conversation, as well as the techniques and strategies that best resolve these problems.[2] CARM won Loughborough University's Social Enterprise award (2013).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</si>
  <si>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Peter Komendowski is a consultant specializing in a unique combination of business development and social activism, targeted at the evolving complexity of human interactions, the effects of the media, and identifying environmental strategies for investing in the "health" of human potential. His work on the Iowa Media Literacy Project provides the framework to bridge the gap between stages of brain development to improve the ability of children to manage the complexity of the media and evolving technologies.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</si>
  <si>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At the age of 17, Albert Llovera became the youngest ever athlete to compete in the Winter Olympics when he represented Andorra at the 1984 games in Sarejevo, Yugoslavia. In the following year, 1985, whilst competing in the European Ski Cup, also in Sarejevo, he suffered a serious accident which left him using a wheelchair with paraplegia beginning at lower back level.
He turned to motorsport, first competing on quad bikes and then starting in rallying. In 1989 he won the Peugeot Rally Cup in Andorra. In 2001, with the support of Fiat, he began competing in the Junior World Rally Championship in a Fiat Punto S1600. He continued in the championship in 2002.
After competing in Spain along with selected WRC appearances he returned full-time to the world stage in 2010 to contest the Super 2000 World Rally Championship in a Fiat Abarth Grande Punto S2000. He finished fifth in class on his first event Rally Mexico. He scored a best overall result of 17th on Rally Catalunya, which was not a round of the SWRC. He continued in the SWRC in 2011, finishing fourth in the category in Jordan.
This is Albert's first chance to stand up in his hometown after 28 years, thanks to Step by Step Foundation and their incredible mechanical esqueleton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</si>
  <si>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Lena Kay shares the 3 steps on how she went from being in a homeless shelter with a brain tumour to living the life of her dreams and how you can transform your life using the same process.
Lena Kay is a Transformation coach who was born in North Iraq and raised in London.  A university dropout she managed a chain of 10 gambling establishments before moving onto RBS business banking where she arose as a team leader. 
By her mid 20’s she found herself homeless, depressed, overweight with a brain tumour and living on benefits. She discovered neuroscience and quantum physics, used the knowledge to transform her life and helped many people on her journey as she organically fell into coaching. 
Lena now empowers individuals, entrepreneurs and groups to transform and become who they need to be, to maximise their potential and live life on their own terms.
This talk was given at a TEDx event using the TED conference format but independently organized by a local community. Learn more at https://www.ted.com/tedx</t>
  </si>
  <si>
    <t>Jordan B. Peterson is a psychology professor at the University of Toronto, and a clinical psychologist, with two main areas of study: the psychology of belief, including religion, mythology and political ideology; and the assessment and improvement of personality,
including the prediction of creativity and academic and industrial performance.
After completing his undergrad degree at Grande Prairie College and the University of Alberta, Dr. Peterson earned a Ph.D. in psychology at McGill in 1991, and was a post-doc at McGill's Douglas Hospital. In 1993, he joined the psychology faculty at Harvard. He moved to the University of Toronto in 1997. His work has been funded by SSHRC, CIHR and NSERC (major Canadian granting agencies), and the Rotman Business School Center for Integrative Thinking. He was nominated for the Levenson Prize at Harvard in 1998, and by TVO each year from 2005-2008 as one of Ontario's Best University Lecturers. He also serves as an essayist and panelist for TVO's The Agenda, a well-known Canadian current affairs program, and is a popular source of information for other media outlets, including TVO's Big Ideas, which has televised five of his lectures.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</si>
  <si>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Las máquinas son buenas contestando preguntas, los humanos somos imbatibles haciendo preguntas. La tecnología para la cuarta revolución industrial ya está aquí. Si indagamos en la unicidad del ser humano, seremos capaces de usarla para mejorar nuestra productividad y nuestro nivel de vida a largo plazo. 
Beatriz Gonzalez pide poner freno al miedo que trae esta revolución. Hay que ponerse en marcha para que sea una revolución en positivo. Está en nuestras manos que sea para las personas.  Beatriz González es una ingeniera industrial por la Escuela de Ingenieros de Bilbao y la École d’Art et Metiers de París. Se especializó en mecánica y es una investigadora en la industria de la automoción, en el campo del doblado de metal. 
Empezó su carrera profesional en la compañía vasca Matrici, para después fundar Diede, una startup especializada en la estampación en caliente, que fue posteriormente adquirida por Gestamp en 2012. Beatriz es Operations Director y Industry 4.0 Engineer en Gestamps, uno de los grupos de ingeniería de automoción más grandes de España. Su pasión por lo que hace no le ha impedido crear Dombee Academy, una plataforma para permitir a estudiantes universitarios españoles realizar prácticas en Londres. This talk was given at a TEDx event using the TED conference format but independently organized by a local community. Learn more at https://www.ted.com/tedx</t>
  </si>
  <si>
    <t>Fernando Alberca is a teacher specialised in youth people. He talks about the importance of communication in the adolescense years in order to make good and stable men and women.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</si>
  <si>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www.tedxfremont.com What if someone told you to floss only one tooth everyday? Or start the new year, not with grand resolutions, but with a simple challenge.. like ONE pushup a day? BJ Fogg shows us that the key to lasting change does not lie in planning big, monumental changes, but in thinking really, really small. Chosen by Fortune Magazine as one of "10 New Gurus You Should Know", Fogg directs the Persuasive Tech Lab at Stanford University.
www.bjfogg.com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</si>
  <si>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With the incredible power to create visually stunning and realistic environments through today’s technology, Don Levy believes that it is also essential for us to develop our skills in visual literacy. The line between fact and fiction can become blurred when faced with the visual landscapes observed in today’s movies--but the ability to tell the difference between reality and fantasy will continue to grow ever more important as our connection with the global community strengthens and technology continues to improve.
After 17 years in senior management positions at Sony Pictures Digital, Don Levy now advises early stage companies, consults to the Entertainment Technology Center@USC, a research center and think tank within the School of Cinematic Arts, teaches entertainment marketing for Boston University's Los Angeles program, is a Thiel Fellowship Community member, and proudly serves on the advisory board of BLUE, the Global Ocean Film Festival and Summit. Don is a member of the Academy of Motion Picture Arts &amp; Sciences, regularly serving on its feature animation nominating committee, and The Television Academy’s Interactive Peer Group. Levy often speaks on the topics of innovation, digital creativity, visual communications and visual effects.
This talk was given at a TEDx event using the TED conference format but independently organized by a local community. Learn more at http://ted.com/tedx</t>
  </si>
  <si>
    <t>Gonzalo Le Blanc &amp; Daniel West, lawyer and doctor respectively and founders of Centro de Hipnosis Uruguay, delivers a Talk at TEDxDurazno 2013 about how our brains filter reality and the importance of training it to our benefit.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</si>
  <si>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Imagination is not what you think. It’s how you think. Cognitive research reveals that images, metaphors and stories are the basis of our mental operating system: the origin of our intuitions and our irrationality. Counterintuitively, more accurate insights do not come from increasing information or reason, but educating our imagination.
Charles Faulkner is an independent researcher on language and its effects on communication, decision-making and change. He has worked in the Silicon Valley, ‘the City’ of London and 3M, HP, IBM, HSBC and Cargill. His decision-making work is featured in books including The New Market Wizards. His popular works include the audio programs: The New Technology of Achievement, Success Mastery, and Creating Irresistible Influence. His original work on metaphoric communication and change is documented in three programs. He has lectured in 15 countries including at the University of Chicago, Columbia College NYC, the Sorbonne, and London School of Economics.
This talk was given at a TEDx event using the TED conference format but independently organized by a local community. Learn more at https://www.ted.com/tedx</t>
  </si>
  <si>
    <t>How many people leave their dreams because they may not get a job? Does music can teach us something about entrepreneurship? Edgar tell us his story and how music helps him everyday to be an entrepreneur. 
Edgar Barroso is a mexican musician and composer. He is PhD in Music Composition at Harvard University and was named Harvard Horizon Scholar. As an entrepreneur, he is co-founder of "Covolución" and Open Source Creation. As social entrepreneur he founded "60 minutos por México" a virtual space that promotes social collaboration between citizens. Member of SNCA that promotes Art and the development of artists in Mexico. He is Professor of the Government and Public School and Director of Entrepreneurship Lab at ITESM. He lives with his loving wife at Zürich. 
This talk was given at a TEDx event using the TED conference format but independently organized by a local community. Learn more at http://ted.com/tedx</t>
  </si>
  <si>
    <t>What really matters to human beings?  With compassion and humor, mediator and attorney Larry Rosen opens a window into the human unconscious that will help you understand everyone, from your spouse to your mother to your boss, no matter how seemingly bizarre their words or actions.   His simple and profound insight will improve every important relationship in your life.
Larry Rosen is the founder of the mediation law practice Through Understanding, where he has helped thousands find solutions to crippling legal and personal conflicts. He regularly lectures on motivation and empathy at Berkeley, MIT and other national universities, as well as trains attorneys and business professionals to see the hidden human mind.  At the heart of Larry’s endeavors is a simple philosophy: when people understand each other at a fundamental level, magic happens. They solve seemingly intractable problems—together. They build new and beautiful worlds—together. Larry holds a JD from the UCLA School of Law, where he graduated Order of the Coif and was an editor of the Law Review.
This talk was given at a TEDx event using the TED conference format but independently organized by a local community. Learn more at https://www.ted.com/tedx</t>
  </si>
  <si>
    <t>John shares the staggering magnitude of our global illiteracy problem and the potential an international focus on increasing literacy has for creating greater social and economic equality for the world’s next generation.
As the Texas Library Association’s 2014 Librarian of the Year, a former member of the Texas Bluebonnet Award Selection Committee, current Texas State Library and Archives Commission Library Systems Act Board Member, and especially as a father of five, John Trischitti, “Mr. T,” understands the power of literacy.
This talk was given at a TEDx event using the TED conference format but independently organized by a local community. Learn more at https://www.ted.com/tedx</t>
  </si>
  <si>
    <t>Mago More http://twitter.com/magomore Magician, events host, entrepreneur, scriptwriter, actor, speaker and writer. Summing up, a versatile man. He holds conferences about innovation and helps business men to improve communication skills. He is convinced that sense of humour is one of the facilitating factors of innovation and change. He stated that we can accomplish extraordinary things; we only need a little push.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</si>
  <si>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"Born in Germany, trained in New Zealand and now based in Amsterdam, Timon Krause has aleady traveled every continent with his show. He studied at the Paul van Vliet Academy for performing arts and cabaret in the Hague as well as Philosophy in Amsterdam. He is currently studying for his masters degree in Philosophy in Leiden.
Timon has found the love of his life in magic. He published his first book on mindreading when he was merely 16 years old. He is the current holder of the title 'Best European Mentalist' and the youngest mindreader to have been awarded this title – ever!
His career so far includes several live TV performances on national television, theater tours in Germany, the Netherlands and New Zealand, competing at several championships including the World Championships of Magic, numerous radio performances, the release of several specialist publications and a decade of experience as a performer." Born in Germany, trained in New Zealand and now based in Amsterdam, Timon Krause has aleady traveled every continent with his show. He studied at the Paul van Vliet Academy for performing arts and cabaret in the Hague as well as Philosophy in Amsterdam. He is currently studying for his masters degree in Philosophy in Leiden.
Timon has found the love of his life in magic. He published his first book on mindreading when he was merely 16 years old. He is the current holder of the title 'Best European Mentalist' and the youngest mindreader to have been awarded this title – ever!
His career so far includes several live TV performances on national television, theater tours in Germany, the Netherlands and New Zealand, competing at several championships including the World Championships of Magic, numerous radio performances, the release of several specialist publications and a decade of experience as a performer. This talk was given at a TEDx event using the TED conference format but independently organized by a local community. Learn more at https://www.ted.com/tedx</t>
  </si>
  <si>
    <t>About this TEDxTalk
Genis talks with us about the deep issues of this digital society. Those questions which go beyond the actual state of the art or the newest gadget or the most useful Internet. Going through the differential questions on this digital revolution we are living, Genis shows us a path that is coming and which we'll walk even if we don't want to.   
About Genis Roca
Genís Roca, (Girona, 1966) is a recognised speaker and popular specialist in Internet and how the digital and networking is altering our personal reality and professional and business as well.
About TEDx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</si>
  <si>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Los jóvenes leen literatura, pese a que sorprenda a muchos, porque nadie se emociona más, se indigna más, vive lee con más pasión que un joven. 
Sebastián García Mouret, nació en 1996 en Oviedo, pero no fue hasta verano de 2012 que decidió comenzar un proyecto en YouTube combinando sus dos pasiones (lo audiovisual, y la literatura) que cambiaría su vida sin precedentes. Actualmente su contenido en la red llega a cientos de miles de personas, y no para de crecer. A parte de compaginar sus estudios de Periodismo en la Universidad Carlos III de Madrid, trabaja en una editorial, en una revista online, da conferencias y sigue creando contenido diariamente.
This talk was given at a TEDx event using the TED conference format but independently organized by a local community. Learn more at http://ted.com/tedx</t>
  </si>
  <si>
    <t>David Lago is a researcher at University of Oviedo. In this talk he explain about the importance of nantechnology to defeat cancer.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</si>
  <si>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Have you had an important relationship end and felt a bit stuck on how to move on? Clinical psychologist Dr. Antonio Pascual-Leone calls this “emotional baggage” or “unfinished business” and speaks about a 3-step process that could help you wrap things up and “finish the feeling”. Antonio is a clinical psychologist and associate professor at the University of Windsor, where he trains psychotherapists and is director of the Emotion Change Lab.
He has received several career awards from international societies (2009, 2014), distinguished publication awards from associations in US and Germany (2010; 2016), and is an honorary research professor at the University of Lausanne (Switzerland).
In addition to 14 years of university teaching, he has given over 35 clinical workshops around the world and received several more awards for his teaching and mentorship (2016; 2018), recognizing his leadership in education and his innovation teaching psychotherapy skills. This talk was given at a TEDx event using the TED conference format but independently organized by a local community. Learn more at https://www.ted.com/tedx</t>
  </si>
  <si>
    <t>Transformación cultural orientado al mundo digital. Pensar en digital. ¿Cómo puede la tecnología ayudarme? Cambio de cultura, con muchos obstáculos. Aprender a cambiar y seducir , mientras cambiamos y seducimos.  Físico y Máster en Economía y Finanzas
   Ha desarrollado la mayor parte de su carrera profesional como ejecutivo en compañías multinacionales. En la actualidad asesora a compañías de múltiples sectores y tamaños en gestión empresarial eficiente y liderazgo. Considera que cualquier transformación empresarial, y en concreto la digital, tiene que ver mucho con lo cultural y poco con lo digital, y que los avances más espectaculares y disruptivos ocurren en la frontera entre disciplinas. 
   “Al igual que las matemáticas son el lenguaje del Universo, el liderazgo y la gestión empresarial son el lenguaje de los resultados.” This talk was given at a TEDx event using the TED conference format but independently organized by a local community. Learn more at https://www.ted.com/tedx</t>
  </si>
  <si>
    <t>Si crees que los datos son aburridos, es que aún no has visto esta charla. En ella, Manuel Enciso no solo nos muestra y nos demuestra que las comparaciones (de números) no son odiosas, sino que, si aprendemos a manejarlas, conseguiremos adquirir una visión más crítica y sensata del mundo que nos rodea.  This talk was given at a TEDx event using the TED conference format but independently organized by a local community. Learn more at https://www.ted.com/tedx</t>
  </si>
  <si>
    <t>How to improve our mobility and urban accessibility? What are the main challenges of the cities nowadays? 
Patxi talks about his experience in doing everyday through Monterrey streets. He does not have a car, he uses public transport. 
Patxi is an Architect and Urbanist. He is a postgraduate teacher of Architecture in the Universidad Autónoma de Nuevo León. He is also a consultant as a City Planner of different cities such as: Monterrey, Linares and Garza García, Mexico. He is from Bilbao, Spain and now he lives in Monterrey, Mexico. 
This talk was given at a TEDx event using the TED conference format but independently organized by a local community. Learn more at http://ted.com/tedx</t>
  </si>
  <si>
    <t>Kevin's speech tackles the information literacy crisis and explores possible ways to combat it. Kevin Arms is a summa cum laude graduate with a BA in anthropology, a minor in religion, and a master’s degree from University of South Florida. He is a full-time librarian and archivist at Lake-Sumter State College, and he serves as the faculty advisor to the college’s literary and art magazine, the Odyssey. This talk was given at a TEDx event using the TED conference format but independently organized by a local community. Learn more at https://www.ted.com/tedx</t>
  </si>
  <si>
    <t>In this talk author and business mogul Ben Chai takes us on his journey of self love and building relationships to teach us how we too can be socially magnetic. Ben Chai
Ben Chai is a property specialist, author and business mogul with 30 years under his belt. Ben is committed to positively impacting people to reach their maximum potential and will be joining us on the TEDx stage with a talk on how to network, build meaningful relationships and be magnetic. This talk was given at a TEDx event using the TED conference format but independently organized by a local community. Learn more at https://www.ted.com/tedx</t>
  </si>
  <si>
    <t>Dra. Donjuan nos compartirá su experiencia y pasión por las estadísticas. Consultora e investigadora especializada en economía, finanzas y dirección estratégica. AEM. This talk was given at a TEDx event using the TED conference format but independently organized by a local community. Learn more at https://www.ted.com/tedx</t>
  </si>
  <si>
    <t>Do you realize how many written words you process each day? Bridget shows us how often we take literacy for granted and how the power to read can change a life.
 As a graduate of the University of Dayton in 2011 and 2016, Bridget Shingleton has had the joy of teaching students of many ages, ability levels, and native languages. She taught
creative writing at Stivers School for the Arts for two years before teaching English as a Second Language at an after-school academy in South Korea for one year. Following that, Bridget taught her way through a master’s degree in English at UD, while coaching student writing in The Write Place. Today, she manages marketing and communications for the Brunner Literacy Center. Bridget believes in literacy’s power to improve lives. This talk was given at a TEDx event using the TED conference format but independently organized by a local community. Learn more at https://www.ted.com/tedx</t>
  </si>
  <si>
    <t>Sebastián González, comedian and TV scriptwriter, delivers a Talk at TEDxDurazno 2013 about humour and creativity.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</si>
  <si>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Julio de la iglesia nos habla sobre como afrontar el miedo. Superarlo es una decisión tuya. Madrid, 1964
As I like to say, I am a father who has two professions: TEDAX (Technical Specialist in Artifact Deactivation
Explosives) for 18 years and Coach. My specialty is the Management of Fear in the "Decision Making" and in the "Achievement of Personal and Professional Objectives". For this I have created an effective formula of five factors, based on my experience and that of others who, like me, play life literally. I have an eclectic background and a varied work experience that ranges from Banking Employee, Greenpeace Activist saving turtles, Salesman at the Trail, Anti-drug Police, Shark Fisherman, Green Beret, Prison Educator, Ninja Master, Yacht Master, Director of Communication, Entrepreneur, founder of "gestiondelmiedo.com", Trainer, Lecturer and up to three times number one in oppositions to the State. Me
I like to think that I am a professional in continuous evolution. This talk was given at a TEDx event using the TED conference format but independently organized by a local community. Learn more at https://www.ted.com/tedx</t>
  </si>
  <si>
    <t>In this informative and captivating TEDx talk, Matt Abrahams offers practical solutions to handle communication anxiety and provides tools to empower all of us to confidently share our ideas and stories. 
Matt Abrahams is a passionate, collaborative and innovative educator, author and coach. At Stanford University’s Graduate School of Business, Matt teaches popular courses in Strategic Communication and Effective Virtual Presenting. He is also Co-Founder and Principal at Bold Echo Communications Solutions, a presentation and communication skills company based in Silicon Valley.
Matt recently published the third edition of Speaking Up Without Freaking Out, a book written to help those wishing to be more confident and compelling communicators. Prior to teaching, Matt held senior leadership positions at several software companies, where he created and ran global learning and development organizations. When not teaching and coaching, Matt enjoys spending time with his family, hiking, martial arts and eating dessert. 
For more information about TEDxPaloAlto please visit http://www.tedxpaloalto.com.  
This talk was given at a TEDx event using the TED conference format but independently organized by a local community. Learn more at https://www.ted.com/tedx</t>
  </si>
  <si>
    <t>His talk entitled "Education with values and virtues", gives a straightforward message to simple principles that society forgets nowadays. 
Carlos Kasuga argues that in order to have a first-class company, family, or institution, a person must first make a commitment to himself and then to others, thus fashioning other “high quality people.”
In order to accomplish this, Kasuga suggests four steps: “The good you,” “Do everything well,” “well-being,” and “having it good.”
Born in Mexico, with Japanese background, founder of the Mexican corporation of Yakult. CEO of the company and frequent guest speaker in topics related to develop a better Mexican society.
This talk was given at a TEDx event using the TED conference format but independently organized by a local community. Learn more at http://ted.com/tedx</t>
  </si>
  <si>
    <t>Omar Villalobos is about counterculture.  He is a native of Ciudad Juarez, Mexico. Controversial, irreverent, unpredictable, revolutionary. Socially purposeful freedom. Passionate knowledge. Insatiable autodidact. He is considered as one of the most influential people in Latin America on human development. Lecturer, poet, writer, film director, producer, relentless dreamer.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</si>
  <si>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En una charla llena de energía, Yesid Barrera propone cuatro pasos para cambiar un hábito:  visualizar, sustituir,  desconectar las señales detonantes y repetir. 
Esta charla se presentó en un evento TEDx, producido de forma independiente de las conferencias TED. 
Cuando una persona cambia un hábito, se desencadenan nuevos hábitos. Asimismo, un sólo cambio genera en una familia o una organización el poder del ejemplo.
Yesid Barrera es asesor empresarial, coach, escritor y líder del proyecto Rybsideas, asesores en la mediación para la solución de conflictos por medio de la negociación.</t>
  </si>
  <si>
    <t>La alfabetización de jóvenes y adultos en entornos digitales en el contexto de COVID-19.
8 de septiembre de 2020
Día internacional de la alfabetización 
Ponentes:
-Judith Kalman/ DIE-Cinvestav, México
-María del Carmen Lorenzatti/Universidad Nacional de Chilecito/Universidad Nacional Córdoba, Argentina
-Francisca Maciel/ Universidad Federal de Minas Gerais, Brasil
-Timothy Ireland/ Vice-presidente para América Latina, International Council for Adult Education
-Miriam Camilo/ Consejo de Educación Popular de América Latina
-Carlos Vargas Tamez/ Orealc/Unesco
Moderadores:
-Oscar Hernández/ UAM Lerma
-Gladys Blazich/ UNNE</t>
  </si>
  <si>
    <t>20 ideas de negocios rentables originales sorprendentes futuristas tendencias 2021
_xD83D__xDE09__xD83D__xDC4C_⚙✔Si quieres crear una academia en línea utiliza la mejor plataforma para el efecto. Con un par de clics tienes tu e-Learning fácil: https://bit.ly/NS-LearnDash
✅_xD83D__xDCE2_PASOS PARA INICIAR TU NEGOCIO EN LÍNEA U OFFLINE:
1. Mejor Hosting: https://bit.ly/NS-Hostinger-es
2. Construye tu web con el mejor: https://bit.ly/NS-DIVI-Best
3. Crea tu logotipo y tu imagen corporativa con el mejor: https://bit.ly/NS-Logaster-Facil
4. Crea diseños impactantes para tus rede sociales con los mejores: https://bit.ly/NS-Canva  |  https://bit.ly/NS-Crello  |  https://bit.ly/NS-Fotor
https://edit.org/es
5. Crea videos impactantes con editores de alta calidad con los mejores: Para presentaciones: https://bit.ly/NS-Viddyoze-Video  |  Para redes sociales: https://bit.ly/NS-FlexClipVideoCreator  |  Para animaciones: https://bit.ly/NS-GoAnimate
6. Espía a la competencia y encuentra las mejores palabras claves para tu negocio con el mejor: https://bit.ly/NS-SEO-Semrush
7. Y para que tu página se posicione en los primeros lugares de Google utiliza el mejor plugin SEO: https://bit.ly/NS-MejorPluginSeo
8. Edita videos profesionales con los mejores: https://bit.ly/NS-VegasPro  |  https://bit.ly/NS-Filmora-Best
9. Sé más productivo utilizando herramientas profesionales a bajo costo, por ejemplo, el mejor editor PDF: https://bit.ly/NS-PDFElement-50Off  |  El mejor software de diagramación: https://bit.ly/NS-Edraw-Diagramacion
10. Sigue capacitándote para continuar logrando tus objetivos y crecer con tu empresa, lógicamente con los mejores: Adquiere más de 500 cursos a un precio increíble: https://bit.ly/NS-Crehana-Cursos
11. Forma los mejores embudos de ventas con el mejor: https://bit.ly/NS-PipeDrive
12. Crea documentos profesionales impactantes para cerrar tratos más rápido: https://bit.ly/NS-Panda-doc
13. Forma respuestas automáticas en tu cuenta de Facebook para que tus usuarios se conviertan en futuros clientes: https://bit.ly/NS-MobileMonkey-Bots
14. Despreocúpate de la facturación y de los impuestos con el mejor software: https://bit.ly/NS-QuadernoIMP
15. Observa miles de recursos que puedes utilizar para tu web, tu negocio y todo el fantástico mundo de internet: https://bit.ly/NS-MercadoEnvato
• Track Info: Title: Summer's Tides Artist: Oshóva Genre: Dance &amp; Electronic Mood: Bright Download: https://goo.gl/tiMXzv ––– • License: Summer's Tides by ??Oshóva?? https://soundcloud.com/osh-va Creative Commons — Attribution 3.0 Unported — CC BY 3.0 http://creativecommons.org/licenses/b... Music promoted by Audio Library https://youtu.be/Xz0O1kmglrE</t>
  </si>
  <si>
    <t>Por medio de la Alfabetización Digital se pretende generalizar la educación inclusiva, equitativa y de calidad a través de la promoción de oportunidades de aprendizaje a todas las edades, el cual es uno de los Objetivos de Desarrollo Sostenible de la ONU. En un esfuerzo por fomentar la colaboración internacional y garantizar que la educación no se detenga en la contingencia por Covid-19, la UNESCO ha desarrollado una serie de iniciativas que promueven una alianza multisectorial. Así, el sistema de las Naciones Unidas, las organizaciones de la sociedad civil, los medios de comunicación y los asociados de las Tecnologías de la Información, diseñan e implementan soluciones innovadoras que pretenden alcanzar a todos los sectores de la población con el objetivo de atender las necesidades de alfabetización e inclusión digital a nivel global.
#Digital #ElOnceEsInnovación #OnceDigital
Síguenos en:
http://www.facebook.com/CanalOnceTV
http://www.twitter.com/CanalOnceTV
https://www.instagram.com/canaloncetv/
http://www.canalonce.mx</t>
  </si>
  <si>
    <t>Todos serán adultos mayores, pero ¿cómo quieres llegar tú?
En su charla, Rodolfo Collado nos enseña cómo potenciar tu vida como adulto mayor y cómo llegar bien, saludable y claro en tus ideas. Rodolfo Collado era un profesor de educación física del colegio Nido de Águilas entre los años 1963-2003.
Ahora, a los 79 años, es el director del grupo espectáculo “Los Abuelos de Chile,” el cual tiene la intención de realizar una innovación social con intervención exógena en grupos sociales con vulnerabilidad y llevar ésta actividad artística a la comunidad de adultos mayores, adultos y jóvenes universitarios. Éste cuenta con diez miembros con un promedio de edad 82 años y han tenido giras alrededor del mundo, como por ejemplo en los Estados Unidos, Francia y Chile. Rodolfo ha tenido amplia experiencia trabajando con adultos mayores. This talk was given at a TEDx event using the TED conference format but independently organized by a local community. Learn more at https://www.ted.com/tedx</t>
  </si>
  <si>
    <t>Entendiendo el mundo afectivo
Links de los vídeos utilizados:
https://www.youtube.com/watch?v=Dh8RU9SclrY
https://www.youtube.com/watch?v=j4AuLBzWQGM</t>
  </si>
  <si>
    <t>Thanks For Watching!
_xD83D__xDC49_ 25 Mins Aerobic reduction of belly fat quickly - Aerobic dance workout easy steps  | EMMA Fitness
------------------------------------------------
⏳ Like, Share and Subscribe:
_xD83D__xDC49_ Youtube : https://bitlylink.com/Wwl7n
------------------------------------------------
⏳ Copyright inquiries, please contact: 
       ✉ emmafitness.contact@gmail.com
       © Copyright by EMMA Fitness ☞ Do not Reup</t>
  </si>
  <si>
    <t>Visme ¿Qué es? Análisis de la herramienta online Visme. Tutorial en español de esta herramienta que nos permite crear presentaciones, infografías, banners para nuestro blog/sitio web, cabeceras para las redes sociales y otros muchos elementos gráficos. Prueba Visme gratis en: http://visme.co
Descubre las ventajas de desventajas de visme frente a otros programas de presentaciones como prezi, power point, genially, ...
Suscríbete a mi canal para estar a la última! ;)
http://www.youtube.com/subscription_center?add_user=roxnet
Sígueme en Twitter
https://twitter.com/linuxera</t>
  </si>
  <si>
    <t>DIRIGIDO A: Directores, Coordinadores pedagógicos y docentes EPT de IIEE JEC 2015 y 2016
FECHA DE EMISIÓN: 22 de marzo</t>
  </si>
  <si>
    <t>Hablan Jorge Zaccagnini y Guillermo Moreno</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</si>
  <si>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En este vídeo, Esther Wojcicki, habla de cómo ha desarrollado su pasión por la educación.. "Me salvó. Crecí en unas condiciones que hoy podrían considerarse de 'pobreza'. A los 10 años, decidí que la forma de escapar de esa situación era a través de la educación.”  
Wojciki nos habla de la importancia de las que para ella son las cuatro habilidades principales en educación: comunicación, colaboración, pensamiento crítico y creatividad y de la importancia de incluir la alfabetización mediática en el currículum escolar.
Periodista y profesora en Palo Alto High School (California, EEUU) durante más de 30 años, Esther Wojciki está considerada como una pionera mundial en el estudio de la alfabetización mediática aplicada a la educación. Desde 1984 dirige el programa más importante de educación mediática de EEUU. Junto a la creatividad, el pensamiento crítico y la colaboración, Wojciki reivindica la importancia de la comunicación como una de las principales habilidades que deben enseñarse en las escuelas para lograr un aprendizaje más significativo en el siglo XXI. Wojcicki es también un referente en la exploración de la relación entre educación y tecnología. Actualmente es vicepresidenta de la organización mundial de licencias Creative Commons y presidenta de la Fundación de amigos de Lurdes Mutola para la promoción de la educación de las niñas en Mozambique. Además, y entre otras posiciones, es consultora de la Fundación Carnegie para el Avance de la Enseñanza y colabora en diferentes medios de comunicación como la revista TIME. Pionera en la exploración de la relación entre educación y tecnología, Wojcicki apunta que “Necesitamos aprender a aprender en línea”, para quien la libertad del estudiante, la responsabilidad y el pensamiento crítico es la clave del futuro.
#AprendemosJuntos</t>
  </si>
  <si>
    <t>SÉ PARTE DE NUESTRA COMUNIDAD _xD83D__xDC69_‍_xD83C__xDFEB_ _xD83D__xDC68_‍_xD83C__xDFEB_ _xD83D__xDC49_ https://bit.ly/2NzC1JU
Aquí abordamos las temáticas con respecto a la entrevista VPA (Valoración de prácticas de aula) te damos el contexto y las posibilidades de respuesta que tienes para enfrentar esta parte del proceso.
Éxitos y gracias por suscribirte
estándares de calidad: https://educacion.gob.ec/estandares/ 
Para contactar conmigo,
✉ Puedes escribirme a:
lic.diegosoria@hotmail.com
#QSM6 #CLASEDEMOSTRATIVA #QUIEROSERMAESTRO #EDUCACIÓN</t>
  </si>
  <si>
    <t>Cómo Planificar una Clase Virtual</t>
  </si>
  <si>
    <t>Con este tutorial de Computación Basica para jóvenes y adultos aprenderás fácil desde casa, todo está paso a paso. Curso completo con Windows 10 e internet.
Verás las partes de la PC, CPU, teclado, Mouse, Pantalla, Escritorio de Windows, iconos, accesos directo, Carpetas o Forder, cómo crearlas, archivos, crear archivos de texto, paint, copiar, pegar, cortar. Qué son las ventanas, minimizar, maximizar, cerrar, accesorios de Windows 10, uso de algunos de ellos, eliminar, Papelera de Reciclaje, guardar, borrar, Realizar búsquedas por internet, sacar información y guardarlos, Memorias USB, transferir imágenes desde tu Móvil a la PC y mucíisimo más, aprende de todo y desde cero. Curso completo paso a paso.
Esto y mucho más podrás conocer desde:
Blog:  http://productodigital.net/blog
Sitio Web:  http://www.productodigital.net
Cursos Presenciales: http://www.compuhogar.net
Cursos Wordpress: http://www.tutorialwordpressgratis.com
Fanpage: https://www.facebook.com/productodigital/</t>
  </si>
  <si>
    <t>Nuevo Curso de Computación Básica 2021: Paso a Paso_xD83D__xDC49_https://www.youtube.com/watch?v=1jts4KF-yz4&amp;list=PL1TTQQdER7Z3kLRgjQxK1j0TFsaHNcW1y
Si quieres aprender con clases personalizadas escríbeme: +593982704197
 COMPUTACIÓN EMPIEZA DESDE CERO Y APRENDE A NAVEGAR EN INTERNET.
¿Me invitas a una taza de café? paypal.me/informaticaenlaweb (Donativos al canal)
-----------------------------------
#cursocomputacion #computacionbasica  #COMPUTACIONPRINCIPIANTES2020 
PARA APRENDER MAS:
 MIRA ESTE CURSO DE COMPUTACION BASICA EN WINDOWS 7.
https://www.youtube.com/watch?v=s_Az3Azecuc&amp;list=PL1TTQQdER7Z1R53hsE2m1eiVB97dapa4k
CURSO DE MICROSOFT WORD:
https://www.youtube.com/watch?v=FW-cBh4fmts&amp;list=PL1TTQQdER7Z3TkhDE4frZ42Tz2dPoMRvq</t>
  </si>
  <si>
    <t>↓↓↓ ÚNETE ↓↓↓ 
https://goo.gl/grpwCi
En el siguiente vídeo explico cuáles son algunos de los errores más cometidos por los maestros y maestras. Seguramente algunos de ellos ya los conocías, pero seguro que te ayudarán a reflexionar sobre la práctica docente.
Aprendizaje Colaborativo:
https://www.youtube.com/watch?v=TIIpXkkkFhA
· · · · · · · · · · · · · · · · · · · · · · · · · · · · · · · · · · · · · · · · · · · · · · · · · · · · · · · · · ·
● SUSCRÍBETE al canal para no perderte los últimos vídeos.
● Activa la CAMPANITA _xD83D__xDD14_ para saber cuándo subo un vídeo nuevo.
· · · · · · · · · · · · · · · · · · · · · · · · · · · · · · · · · · · · · · · · · · · · · · · · · · · · · · · · · ·
¡Muchas gracias por ver los vídeos del canal!
Si te gusta el vídeo dale a Me gusta, ¡me ayudarías muchísimo!
RECUERDA que puedes dejar un comentario con sugerencias e ideas para futuros vídeos del canal.
Si quieres contactar conmigo,
✉ Puedes escribirme en:
ferranbates@gmail.com
Descubre más recursos para el aula en INSTAGRAM:
https://www.instagram.com/recursosaula
#Docentes #Educación #Pedagogía</t>
  </si>
  <si>
    <t>Suscribanse a Nuestro Canal Apoyanos....
_xD83D__xDCDA_Comparto material de apoyo #Exclusivo para #Docentes. _xD83D__xDCCC_Como crear un Control de Asistencia para Estudiantes.
⚙️ Esto será muy útil para capturar datos del estudiante que está presente en nuestras #clases #virtuales.
_xD83D__xDCCB_ Crear Exámenes Virtuales para Alumnos - Google Form
https://www.youtube.com/watch?v=RAGt7bae1YI&amp;t=475s
_xD83D__xDEAB_ Bloquear Examen Virtual con Limite de Tiempo
https://www.youtube.com/watch?v=EZ0tuGBV-dI&amp;t=3s</t>
  </si>
  <si>
    <t>Pedagogía MX es un canal creado para compartir y difundir el conocimiento pedagógico de una manera audio visual. En este canal encontrarás contenido como biografías de Pedagogos, teorías, postulados, modelos educativos, noticias de educación, entre otras cosas.
Únete a este canal para acceder a sus beneficios:
https://www.youtube.com/channel/UC5CytXzXpOjaecvCYsNKh5g/join
Suscríbete Pedagogía MX.
Correo:
totalpedagogiamx@gmail.com
Facebook:
https://www.facebook.com/Totalpedagog%C3%ADamx-Pedagog%C3%ADa-2027536500810890
Grupo de Facebook:
https://www.facebook.com/groups/254305575674400/
Instagram:
https://www.instagram.com/pedagogiamx_/?hl=es-la
Podcast Spotify:
https://open.spotify.com/show/14z0nikCUkoKWcDY0uPFVh?si=x-OS9Ha1TFmB1YMOR0VH5g
Pedagogía MX:
https://www.youtube.com/channel/UC5CytXzXpOjaecvCYsNKh5g
#Pedagogía #Alfabetización #Analfabetismo
ALFABETIZACIÓN
La UNESCO tiene muy claro que uno de sus objetivos a nivel mundial en educación, es erradicar el analfabetismo, pero ¿qué es el analfabetismo?
La SEP (Secretaría de Educación Pública) define el analfabetismo como la población que una vez que superó la edad escolar no adquirió la habilidad para leer o escribir un recado.
Para el INEE (Instituto Nacional para la Evaluación de la Educación), define el analfabetismo como las personas que no saben leer ni escribir un breve recado.
A pesar de que estas instituciones refieren al analfabetismo con el hecho de no saber leer ni escribir, hoy en día, este término va más allá, simplemente se ve en las personas que no saben utilizar la computadora por ejemplo.
Para comprender la alfabetización es fundamental reconocer que el analfabetismo está asociado a las condiciones de la sociedad: pobreza, desinterés o la falta acceso a la educación de calidad.
En términos muy generales, la alfabetización es toda acción educativa que pretende erradicar el analfabetismo.
La alfabetización, es un término integral que abarca todas las capacidades básicas de comunicación, requeridas para existir en una sociedad moderna.
No debemos confundir el analfabetismo con el iletrismo, ya que este último es rehusarse a leer y escribir aunque ya haya desarrollado esa capacidad.
ANALFABETISMO: s. 1. Incapacidad de leer o escribir un lenguaje; específicamente, “incapacidad de aplicar la lectura y la escritura con facilidad en la vida diaria” (UNESCO, 1988). En 1988, la declaración de la UNESCO también afirmaba que “el analfabetismo extendido impide el desarrollo social y económico.
La alfabetización lectoescritora siendo la más popular, es la capacidad de utilizar las herramientas necesarias para el aprendizaje de la escritura, la lectura, la expresión oral, el cálculo y la resolución de problemas; los conocimientos teóricos y prácticos, valores y actitudes, desarrollo de sus capacidades, mejorar la calidad de su vida, tomar decisiones fundamentadas y continuar aprendiendo.
Con esta definición nos damos cuenta que la alfabetización es más que aprender a leer y escribir. 
Tipos de alfabetización:
La UNESCO menciona que la alfabetización permite una mayor participación de las personas en el mercado laboral, mejora la salud y la alimentación de los niños y de la familia; reduce la pobreza y amplía las oportunidades de desarrollo durante la vida.
Dentro de la Agenda 2030 para el Desarrollo Sostenible, la UNESCO adopta los siguientes enfoques para promover la alfabetización en todo el mundo, haciendo hincapié en jóvenes y adultos:
• Construir bases sólidas en favor de la enseñanza y protección de la primera infancia
• Proveer una educación básica de calidad para todos los niños
• Ampliar los niveles de alfabetización funcional para jóvenes y adultos que no poseen las competencias básicas de lectoescritura.
• Desarrollar entornos de alfabetización.</t>
  </si>
  <si>
    <t>Aquí les cuento cómo trabajaré con los padres de familia a distancia para que me apoyen a alfabetizar y algunas actividades para que ellos comprendan un poco nuestro sistema de lectoescritura.</t>
  </si>
  <si>
    <t>“Hay que mejorar la educación” es la respuesta común para gran parte de los problemas del Perú. ¿Queremos incluir más mujeres en ciertas industrias? Educación. ¿Disminuir la violencia? Educación. ¿Mejorar la calidad de vida? Educación. 
¿Cuál es la situación en el Perú?
Fuentes:
An Introduction to the Study of Education, David Matheson .- CRC Press
https://www.routledge.com/An-Introduction-to-the-Study-of-Education-4th-Edition/Matheson/p/book/9780415623100#targetText=Description,and%20what%20purpose%20it%20serves
Producto e Impacto de la Educación (2016-2019) - ESCALE
http://escale.minedu.gob.pe/ueetendencias2016
Gasto Público en Educación - Banco Mundial
https://datos.bancomundial.org/indicador/SE.XPD.TOTL.GD.ZS
Global Education - Our World in Data
https://ourworldindata.org/global-education
Alfabetismo y Analfabetismo - INEI
https://www.inei.gob.pe/estadisticas/indice-tematico/analfabetismo-y-alfabetismo-8036/
Evaluación PISA 2018 - MINEDU
http://umc.minedu.gob.pe/wp-content/uploads/2019/12/PISA-2018-Resultados.pdf
Transparencia Económica Perú (Presupuesto y Ejecución)
https://apps5.mineco.gob.pe/transparencia/Buscador/Default.aspx
Education Transforms Lives - UNESCO
https://en.unesco.org/themes/education/
Sustainable Development Goals - UNESCO
http://data.uis.unesco.org
Gasto Público por estudiante - INEI
http://m.inei.gob.pe/estadisticas/indice-tematico/expenditure-of-education-sector/
___________________________________________________________
-Entérate de más-
www.enterarse.com
- Síguenos -
YouTube
https://www.youtube.com/enterarse
Facebook
https://www.facebook.com/EnterarseNTR/
Instagram
https://www.instagram.com/enterarsentr/
Twitter
https://twitter.com/enterarsentr</t>
  </si>
  <si>
    <t>Explicación de las etapas de la alfabetización inicial.</t>
  </si>
  <si>
    <t>Canales de comunicación de Magnificat TV, proyecto evangelizador de los Franciscanos de María:
Sitio web: http://magnificat.tv/
Facebook: https://www.facebook.com/Magnificattv/
YouTube: https://www.youtube.com/c/MagnificatTVFranciscanosdeMaria
Twitter: https://twitter.com/MagnificatTV
Twitter del P. Santiago Martín FM: https://twitter.com/PSantiagoFM 
Instagram: https://www.instagram.com/misioneros.del.agradecimiento/
Ivoox: https://bit.ly/AudiosMagnificatTV
Spotify: https://bit.ly/MagnificatTV_Podcast
#franciscanosdemaria #misionerosdelagradecimiento #padresantiagomartin #magnificattv #agradecimiento #catolico #iglesiacatolica</t>
  </si>
  <si>
    <t>gabrielle petito gabby petito missing florida woman white camper van cross-country trip with boyfriend nomad life nomadic static youtube instagram missing person case woman missing after trip with boyfriend grand tetons yellowstone sarasota county florida suffolk county new york the aware foundation of virginia unsolved murder case girlfriend killed by boyfriend utah bryce canyon true crime news video</t>
  </si>
  <si>
    <t>2021 met gala emma chamberlain emma chamberlain interview emma chamberlain met gala gigi hadid emma chamberlain gigi hadid farm mom gigi hadid met gala gigi hadid met look gigi hadid mom gigi hadid motherhood gigi hadid vogue met in america: a lexicon of fashion met gala met gala 2021 met gala interview met gala red carpet met gala red carpet interview met gala vogue metred the met vogue</t>
  </si>
  <si>
    <t>blippi blippi videos blippi animal shelter blippi animals animals for kids animal shelter educational videos for kids learning for kids cartoons for children blippi songs animals for toddlers animal songs learning animals blippi zoo animals blippi dog blippi cat blippi colors blippi shapes</t>
  </si>
  <si>
    <t>for kids panda giant panda baby bus nursery rhymes kids song toddler songs babybus kiki and miu miu baby bus song baby panda baby cartoon baby songs babybus cartoon animation for kids children songs kids songs babies songs babies videos kids cartoon kid songs sing-along sing-along songs kids videos songs for kids cartoon kids safety tips safety for kids play safe playground song sharing song wash your hands rain rain go away</t>
  </si>
  <si>
    <t>yt:cc=on</t>
  </si>
  <si>
    <t>Blippi blippi blippi videos blippi colors blippi songs blippi toys blippi planes educational videos for kids learning for kids kids tv shows planes for kids vehicle videos for kids airplanes for kids educational videos for toddlers children learning kids songs videos for kids</t>
  </si>
  <si>
    <t>dude perfect dude perfect stereotypes dude perfect water bottle flip bottle flip water bottle flip dude perfect bottle flip dude perfect basketball dp dude perfect world record edition nerf trick shots trick shot family ping pong bowling clean family friendly bubble wrap soccer football spinner spinners fidget spinners dude bucket list vehicle top top 5 this bad boy tank sea seabreacher breacher wing walk walking plane biplane monster truck drive driving ribs</t>
  </si>
  <si>
    <t>cocomelon abckidtv nursery rhymes children songs baby songs kid songs sing-along sing-along songs kids videos kids animation kids entertainment kids education preschool kindergarten toddler JJ twinkle twinkle twinkle twinkle little star coco coco songs coco melon wheels on the bus baa baa black sheep kids songs songs for children cartoons for kids</t>
  </si>
  <si>
    <t>marvel comics hawkeye marvel studios disney plus disney+ jeremy renner hailee steinfeld mcu trailer teaser official hawk eye avengers blip engame infinity war ronin Kate Bishop Clint Barton</t>
  </si>
  <si>
    <t>educación a distancia virtual online alfabetización digital educar cómo educar a distancia enseñar a distancia enseñanza online virtualidad primaria secundaria terciario universitario profesores cuarentena enseñar en cuarentena estudiar estudiantes campus virtual</t>
  </si>
  <si>
    <t>cocomelon abckidtv nursery rhymes children songs baby songs kid songs sing-along sing-along songs kids videos kids animation kids entertainment kids education preschool kindergarten toddler JJ sick song cocomelon sick song sick kids sick song coco melon kids songs learning for kids</t>
  </si>
  <si>
    <t>2021 met gala emma chamberlain emma chamberlain interview emma chamberlain met gala in america: a lexicon of fashion kendal jenner met gala kendall kendall 2021 kendall givenchy kendall jenner kendall jenner met gala 2021 kendall jenner red carpet kendall met gala kendall red carpet met gala met gala 2021 met gala interview met gala kendall jenner met gala red carpet met gala red carpet interview met gala vogue metred the met vogue</t>
  </si>
  <si>
    <t>alfabetización digital competencia digital Tiscar Lara Congreso leer.es formación del profesorado webcast Ministerio de Educación</t>
  </si>
  <si>
    <t>educación Concortv Stefan Kaspar Grupo Chaski Perú audiovisual cine social comunidad</t>
  </si>
  <si>
    <t>Animated Clip Free animation software Animated Videos Free Presentation software Animated Presentation Make your own animation Presentation software Nativos-Digitales-Inmigrantes-Digitales-Generación-Net Explainer video PowToon</t>
  </si>
  <si>
    <t>#hangoutsonair Hangouts On Air #hoa</t>
  </si>
  <si>
    <t>#educación #innovación #creatividad #pedagogía #innovación educativa #educando</t>
  </si>
  <si>
    <t>educacion tecnologia era digital escuelas alumnos profesores profesionales editoras libros impresiones</t>
  </si>
  <si>
    <t>TEDxTalks Spanish Argentina Education Arts education Change Children Early education Education reform Initiative Innovation Motivation Personal education Play Teaching Theater</t>
  </si>
  <si>
    <t>Neurodidáctica Ruth Mujica Docentes 2.0 ¿Qué es la Neurodidáctica? docentes estudiantes enseñanza aprendizaje desarrollo del cerebro cerebro didactica aula</t>
  </si>
  <si>
    <t>Alfabetización Mediática Máster Comunicación Educación Educomunicación Ciber Medios Pantallas</t>
  </si>
  <si>
    <t>David Buckingham educación digital educar PLANIED</t>
  </si>
  <si>
    <t>Deporte Tecnología Convivencia Juventud Ciencias.</t>
  </si>
  <si>
    <t>EduNarraMooc INTEF MOOC Formación Narración Digital</t>
  </si>
  <si>
    <t>Foro Innovación Educación Ceibal Plan Ceibal Foro Ceibal Innovación educativa Ceibal 10 años Foro de Innovación Educativa Ceibal10</t>
  </si>
  <si>
    <t>Redes La manera disruptiva de aprender RTVE es Curtis Johnson Punset</t>
  </si>
  <si>
    <t>gaby rodriguez lilia calmet mejor clima escolar mejores aprendizajes drelm ugel ministerio de educación minedu lima perú fundación wiese calidad educativa</t>
  </si>
  <si>
    <t>alexduve investigacion accion participativa kemmis investigacion accion que es la investigacion accion alatorre investigacion accion kurt lewin investigacion accion investigacion accion investigacion cualitativa innovacion educativa como se hace investigacion accion alatorre atlas.ti elliot ejemplos de investigación accion participativa investigacion accion elliot investigacion accion educativa ejemplo de investigacion accion participativa free animation software</t>
  </si>
  <si>
    <t>ftvfractal Periodismo Digital Nuevas Narrativas Dima Khatib Directora Ejecutiva De Aj+ En Español Las Noticias FOROtv Noticieros Televisa Fractal Ana Francisca Vega Televisa News Ciencia y Tecnología</t>
  </si>
  <si>
    <t>TEDxTalks Spanish Costa Rica Education</t>
  </si>
  <si>
    <t>euronews learningworld Educación África Ghana Kenia Cumbre</t>
  </si>
  <si>
    <t>Alfabetización digital competencia digital lectura escritura Tiscar Lara Leer.es Congreso Leer.es webcast formación del profesorado Ministerio de Educación.</t>
  </si>
  <si>
    <t>comunicación educación escuchar miradas emociones diálogo conversación escuela profesores jóvenes niños padres Aprendemos Juntos Aprendemos Juntos BBVA Aprender Juntos Educación Pedagogía Instituto Escuela Estudiar Aprender Formación empatía walter riso entrevista walter riso walter riso autoestima walter riso enamorate de ti walter riso dependencia emocional</t>
  </si>
  <si>
    <t>Hanuman Chalisa Hanuman Chalisa Gulshan Kumar Hanuman Chalisa Hariharan Hanuman Bhajans Gulshan Kumar Gulshan Kumar Hanuman Chalisa Shree Hanuman Chalisa Shri Hanuman Chalisa Hanuman Chalisa Original Bhakti Sangeet Bhakti Songs Religious Music Spiritual Synergy Jai Hanuman Gyan Gun Sagar Lord Hanuman Chalisa Hanuman Hanuman Jayanti Hanuman chalisa By Gulshan Kumar भजन हनुमान चालीसा pooja बजरंगबली bajrangbali chaalisa hanuman chalisa full hanumaan stuti</t>
  </si>
  <si>
    <t>jesus adrian romero marcela gandara lilly goodman abel zavala santiago benavides musica cristiana canciones cristianas 2020 cancion cristiana mejores exitos popurri mix tu estas aqui sumergeme se quedo conmigo origen y esencia el brillo de mis ojos album completo</t>
  </si>
  <si>
    <t>Educación virtualidad profesores estudiantes digital clases docentes colegios alumnos interactividad eficacia educación en línea capacitación para maestros capacitación para docentes clases en línea cómo dar clases en línea</t>
  </si>
  <si>
    <t>herramientas 2.0 web educación digital educacion digital protectos digitales docencia digital recursos digitales web 2.0 saber imss imss educacion en salud</t>
  </si>
  <si>
    <t>Voluntariado alfabetización digital cooperación entre generaciones filantropía</t>
  </si>
  <si>
    <t>Ciudadanía Digital Alfabetización digital TIC MinTIC Cursos TIC</t>
  </si>
  <si>
    <t>grupo firme lenin ramirez video oficial yo ya no vuelvo contigo lenin ramirez ft. grupo firme angel del villar del records del del records 2019 adv del negociante el dela gorra 27 recordando a manuel hierba de receta grupo fime 2019 grupo firme banda grupo firme mix rolling one regional mexican el amor no fue pa mi el yaki</t>
  </si>
  <si>
    <t>Innovación UdeC Ciencia Biobio Conce Concepción</t>
  </si>
  <si>
    <t>Alfabetizacion Digital Mauleactiva Christian Salgado Talca Maule Bryc Kulto Avance</t>
  </si>
  <si>
    <t>Escritura Preescolar</t>
  </si>
  <si>
    <t>escuelas rurales alfabetización inicial</t>
  </si>
  <si>
    <t>alfabetización incial escuelas rurales</t>
  </si>
  <si>
    <t>educación</t>
  </si>
  <si>
    <t>clases en linea clases preescolar clase de kinder preescolar bienvenida bienvenida a clases ciclo escolar 2020 ciclo escolar 2020-2021 escolar reglas de clase en linea reglas de clases virtuales para niños reglas de clases virtuales</t>
  </si>
  <si>
    <t>Educación virtual Bienvenida Inicia 4 años Nivel Inicial 4 años Escuela Día del Niño Títere</t>
  </si>
  <si>
    <t>eco ecolearning mooc uned uniovi unican alfabetización digital exclusión social Digital Literacy Massive Open Online Course (Website Category) yt:cc=on yt:cc=en</t>
  </si>
  <si>
    <t>como trolear a tu profesor trolllear trolear profesor teacher como trollerar a tu profesor truco adivinar numero math magic magic magia jose andalon math2me trick truco matematico Juegos Mentales que te pondrán a pensar Juegos Mentales how to trick your math teacher trick your math teacher gana siempre mind blowing win never lose best you will always win bets you will never lose trollear math ganale a tu profesor haran explotar tu mente</t>
  </si>
  <si>
    <t>musinetwork musica clases de musica escuela de musica clases online cursos de musica por internet clases de saxofon jazz arturo caraza profesores de musica profesores online musinetwork school of music escalas acordes instrumentos de viento rafael alcala</t>
  </si>
  <si>
    <t>Escuelas rurales alfabetización</t>
  </si>
  <si>
    <t>alfabetización oralidad escritura</t>
  </si>
  <si>
    <t>Animated Clip Free animation software Animated Videos Free Presentation software Animated Presentation Make your own animation Presentation software Explainer video PowToon</t>
  </si>
  <si>
    <t>Social Exclusion exclusión social alfabetización digital eco ecolearning learning ecolearning.eu uned uniovi universidad de oviedo universidá d'uviéu universidá uviéu aquilina fueyo queli fueyo universidad cantabria mooc</t>
  </si>
  <si>
    <t>RADIOMARÍA alvareztrujillo</t>
  </si>
  <si>
    <t>110216 eEURA008 flash</t>
  </si>
  <si>
    <t>Leer para aprender II</t>
  </si>
  <si>
    <t>Santillana Santillana Compartir UNESCO Congreso Alfabetizacion Digital Solucion Educativa</t>
  </si>
  <si>
    <t>aprendizaje ubicuo alfabetización digital exclusión social mooc digital learning digital literacy social exclusion eco ecolearning uniovi uned unican universidad oviedo cantabria</t>
  </si>
  <si>
    <t>jon dornaletetxe alfabetización digital digital alfabetización literacy communication technology tecnología comunicación bastard education educación bastardad TEDx publicidad segovia wikileaks Anonymous (Collective) learning cooperative TED (Organization) TIC Information And Communications Technology (Exhibition Subject)</t>
  </si>
  <si>
    <t>componente alfabetizacion digital FCSH</t>
  </si>
  <si>
    <t>poetas poemas literatura etimología palabras origen palabras relatos microrelatos cuentos historias arte lavozsilenciosa jose francisco díaz-salado</t>
  </si>
  <si>
    <t>docencia ciencia tecnología y sociedad tecnología luz historia gestión de la información</t>
  </si>
  <si>
    <t>economía agricultura</t>
  </si>
  <si>
    <t>estrategia didáctica ambientes virtuales de aprendizaje recursos educativos digitales investigación</t>
  </si>
  <si>
    <t>macroeconomía innovación PIB producto interno bruto economía</t>
  </si>
  <si>
    <t>consejos para profesores apps para profesores aplicaciones para profesores herramientas para profesores consejos docentes consejos a docentes consejos a maestros idoceo para profesores google classroom edpuzzle la cuna de halicarnaso apps docentes</t>
  </si>
  <si>
    <t>crítica y reflexiva experiencia formativa elementos básicos del debate argumentos falacias consensos diálogo Luis Rodolfo Jaramillo Botero</t>
  </si>
  <si>
    <t>Entre colegas universidad anticapacitista Ude@ Educación Virtual espíritu universitario</t>
  </si>
  <si>
    <t>lectura inferencial ude@ Universidad de Antioquia conceptos ejemplos competencia lectora</t>
  </si>
  <si>
    <t>Zona Latina Chile Canal Zona Latina copa libertadores libertadores femenina universidad de chile santiago morning libertadores zona latina futbol femenino boca juniors santiago morning copa libertadores copa libertadores chile</t>
  </si>
  <si>
    <t>lachlan lachy fortnite battle royale pubg battlegrounds fortnite battle royale fortnite lachlan lachy duos season 10 season x new season battle royal lacy laclan epic games gaming esports games video games</t>
  </si>
  <si>
    <t>SpaceX Space Musk Satellite NROl-108 Mission</t>
  </si>
  <si>
    <t>dude perfect plus bonus bts behind the scenes extra compilation dp editors funny bloopers deleted family team trick shot shots battle stereotype overtime sparky tyler cory coby cody garrett panda chad tim derek hashtag bucket list vehicle top 5 vehicles tank wing walk plane walking monster truck sea breacher indy car indy 500</t>
  </si>
  <si>
    <t>Conor McGregor Machine Gun Kelly Megan Fox MTV VMAS Conor McGregor MGK Conor McGregor machine gun kelly Conor McGregor MGK fight Conor McGregor VMAs Conor McGregor interview VMAs VMA Video Music Awards vma 2021 VMAs 2021 Video Awards Video Music Video Music 2021 MTV vmas MTV vmas 2021 Entertainment Tonight etonline et online celebrity Hollywood news trending et et tonight</t>
  </si>
  <si>
    <t>Estudiantes regreso a clases desigualdad internet computadora</t>
  </si>
  <si>
    <t>tvunam tv unam Teveunam Te ve UNAM no memes NoMemes nomemes Dany Kino tecnología gadgets videojuegos cultura digital brecha digital tercera edad alfabetización digital</t>
  </si>
  <si>
    <t>Innovación UdeC Ciencia Biobio Conce Concepción SelloUdeC Alfabetizaciondigital AdultosMayores</t>
  </si>
  <si>
    <t>soy docente maestro y profesor coaching educativo lectoescritura spreaker capacitación videoblog material didactico estimulacion temprana curso tic EJERCICIOS PARA ENSEÑAR A ADULTOS TECNICAS PARA ENSEÑAR A ADULTOS METODOS PARA ENSEÑAR A ADULTOS COMO ENSEÑAR A ADULTOS MATERIAL CURSO COMO ENSEÑAR A ADULTOS</t>
  </si>
  <si>
    <t>Alfabetizacion Digital Municipalidad de Rio Negro Adultos Mayores Alfabetizacion Digital Digital Literacy</t>
  </si>
  <si>
    <t>soy docente maestro y profesor coaching educativo lectoescritura spreaker capacitación videoblog material didactico estimulacion temprana curso tic MATERIAL PARA ENSEÑAR A ADULTOS. material para enseñar a personas mayores como alfabetizar adultos material cartillas planillas de silabas</t>
  </si>
  <si>
    <t>Hora 23 Bolivia Bolivisión noticias reportajes adultos adultos mayores redes sociales familia tecnología</t>
  </si>
  <si>
    <t>yt:stretch=16:10</t>
  </si>
  <si>
    <t>adultos mayores Tercera edad Escuela</t>
  </si>
  <si>
    <t>personas mayores tecnologia cruz roja española fundacion vodafone</t>
  </si>
  <si>
    <t>Eduard Gonzalez Editar Videos Editar videos con videoleap editar videos con vn editar video con Vlog Now Aplicaciones para editar videos apps para editar videos Editar videos con Inshot Editar con Inshot Quitar marcas de agua Aplicaciones para editar sin margas de agua Apliacion gratis para editar aplicaciones gratis para editar aplicaciones gratis para editar videos aplicaciones gratis para editar videos sin marcas de agua</t>
  </si>
  <si>
    <t>cuidado personas mayores ancianos dependientes viejos anciana buen samaritano caritas diocesana malaga residencia asilo atención persona mayor alzheimer demencia senil tercer edad me llamo carmen</t>
  </si>
  <si>
    <t>terapia cognitiva personas mayores estimulacion cognitiva para adultos mayores actividades cognitivas para adultos mayores ejercicios cognitivos para adultos estimulacion cognitiva adulto mayor actividades cognitivas para adultos ejercicios cognitivos para adultos mayores estimulacion cognitiva adultos estimulacion cognitiva para adultos</t>
  </si>
  <si>
    <t>fes fes acatlan acatlan unam universsidad retuit gaby tlaseca retuit con gaby tlaseca tv mexiquense mexiquense tv social media acatlan tecnología redes sociales universidad</t>
  </si>
  <si>
    <t>soy docente maestro y profesor coaching educativo lectoescritura spreaker capacitación videoblog material didactico estimulacion temprana curso tic alfabetizacion adultos enseñar a leer y escribir adultos como enseñar a leer a personas mayores estretegias para enseñar a adultos</t>
  </si>
  <si>
    <t>soy docente maestro y profesor coaching educativo lectoescritura spreaker capacitación videoblog material didactico estimulacion temprana curso tic enseñar a leer a adultos como enseñar a escribir a adultor como enseñar a adultos</t>
  </si>
  <si>
    <t>Capacitacion Computacion Alfabetizacion Digital Oficina de Empleo Mar del Plata</t>
  </si>
  <si>
    <t>Alfabetización Digital Educación superior Profesores Estudiantes</t>
  </si>
  <si>
    <t>Alfabetización TIC Tecnología educativa Virkel Liliana adult literacy in spanish analfabetos leer escribir curso adultos online gratis castellano completo ejercitación free course read write learn spanish exercise</t>
  </si>
  <si>
    <t>Matemáticas Clase Sistema Uno Varmond iPad</t>
  </si>
  <si>
    <t>Programa Nacional de Alfabetización escuela colombia ministerio de educación nacional modelos educativos flexibles</t>
  </si>
  <si>
    <t>alfabetización digital competencia digital Tiscar Lara Congreso Leer.es Ministerio de Educación formación del profesorado Leer.es</t>
  </si>
  <si>
    <t>Día Internacional de la Alfabetización alfabetización leer escribir INEA Instituto Nacional para la Educación de los Adultos analbatismo Adultos mayores</t>
  </si>
  <si>
    <t>edutuber edutuber argentina youtuber argentina canal educativo aprender a leer y escribir como aprender a leer y escribir aprender a leer y escribir adultos aprender a leer y escribir desde cero curso como aprender a leer y escribir adultos enseñar a leer y escribir a adultos aprender a leer y escribir rapido</t>
  </si>
  <si>
    <t>yarali kuslar español Yaralı Kuşlar Yarali Kuslar Kuslar Yaralı Kuş Yarali kus Wounded Birds Gizem Arıkan Gizem Arikan Ali Yasin Özegemen watch Wounded Birds Turkish drama Turkish soap daydreamer Wounded birds spanish series de televisión en español Sueños Robados Omer Sueños Robados novela turca en español omer sueños robados novela turca en español wounded birds episode 1 omer sueños robados capitulo 1 turco telenovela telenovela el turco dizi izle</t>
  </si>
  <si>
    <t>UABC Universidad Autonoma de Baja California ImagenUABC Imagen ImagenUABC.tv Universidad Baja California baja california</t>
  </si>
  <si>
    <t>UABC Universidad Autonoma de Baja California ImagenUABC Imagen ImagenUABC.tv Universidad Baja California baja california Gritabocas</t>
  </si>
  <si>
    <t>Laura Nicole Caballero Teniente Alfabetizacion digital adultos mayores Encuentro Científico Internacional 2018 verano Modesto Montoya Véronique Collin Universidad Alas Peruanas</t>
  </si>
  <si>
    <t>masas para tartas pie pie crust tartas saladas tarta pascualina masa para pascualina masas caseras easy pie crust masas sencillas recetas recipes how to tutorial cooking tutorial tutorial de cocina base para tarta masa salada savory pie crust pascualina masa sin huevo masa sin manteca masa de aceite masa sin mantequilla recetas rapidas recetas sencillas recetas economicas easy recipes canal de cocina cooking channel LaCocinadera</t>
  </si>
  <si>
    <t>UABC Universidad Autonoma de Baja California ImagenUABC Imagen ImagenUABC.tv Universidad Baja California baja california Gritabocas Ovalle</t>
  </si>
  <si>
    <t>redactar redaccion redactar bien aprender a redactar aprender 5 consejos redactar como un pro redacta escribir bien escribir correctamente escribir maria pabla psicologa ortografia gramatica textos bien redactados aprende a redactar como un profesional</t>
  </si>
  <si>
    <t>andragogía pedagogia malcolm knowles malcolm knowles andragogy learning theory andragogy pedagogy Dr. Cesar Orsini medical education dental education educacion medica amee adee teorias del aprendizaje learning aprendizaje enseñanza teaching camtasia autoevaluación motivacion educacion educacion superior higher education adult learning educacion en ciencias de la salud health professions education teoria adultos medicine dentistry odontologia medicina nursing education</t>
  </si>
  <si>
    <t>UABC Universidad Autonoma de Baja California ImagenUABC Imagen ImagenUABC.tv Universidad Baja California baja california Vitamina C</t>
  </si>
  <si>
    <t>como cortar cortar el cabello como cortar cabello cortar pelo cortar el pelo corte recto corte recto cabello cabello largo recto cabello recto 2018 pelo recto curso corte de pelo curso corte de cabello corte en u corte en v corte desfilado pelo corte bob cabello en capas todos los cortes de pelo Como Cortar el Cabello Recto Como Cortar el Cabello desfilado pelo cortes para el pelo</t>
  </si>
  <si>
    <t>Vejez envejecimiento anciano sexo anciana sexualidad menopausia andropausia autoestima autocuidado viejismo tercera edad adulto mayor adulta mayor persona mayor edadismo miedo a la tecnología adultos mayores y tecnología vejez y tecnología</t>
  </si>
  <si>
    <t>UABC Universidad Autonoma de Baja California ImagenUABC Imagen ImagenUABC.tv Universidad Baja California baja california IMAGO</t>
  </si>
  <si>
    <t>educación física educacion fisica educacion fisica en casa educacion fisica para niños educacion fisica en casa para niños educación física internacional educación física en cuarentena https://www.youtube.com/watch?v=Hv5KURGkZNY&amp;t=19s https://www.youtube.com/watch?v=mxrbGrtwI9M zoom meet juegos zoom juegos meet encuentros virtuales juegos para encuentros virtuales juegos para zoom juegos para meet</t>
  </si>
  <si>
    <t>juegos para adulto mayor de memoria juegos de memoria para adultos mayores actividades de memoria para adultos mayores actividades recreativas para adultos mayores estimulacion cognitiva para adultos mayores gimnasia cerebral para adultos mayores actividades recreativas para adultos mayores en asilos actividades recreativas para adultos mayores discapacitados juegos mentales para adultos mayores ejercicios mentales para adultos mayores</t>
  </si>
  <si>
    <t>UABC Universidad Autonoma de Baja California ImagenUABC Imagen ImagenUABC.tv Universidad Baja California baja california Vitamina C Biorremediacion</t>
  </si>
  <si>
    <t>Banco de la República Subgerencia Cultural</t>
  </si>
  <si>
    <t>UNAM ciencia investigación UNAM Global noticias Inclusión digital Adultos mayores Comunidad UNAM DGTIC Dirección General de Cómputo y de Tecnologías de Información y Comunicación</t>
  </si>
  <si>
    <t>Alfabetización Competencia Digital web 2.0 educación Didáctica y Organización Escolar [215]</t>
  </si>
  <si>
    <t>soy docente maestro y profesor coaching educativo lectoescritura spreaker capacitación videoblog curso tic edutubers canal educativo canal de educacion</t>
  </si>
  <si>
    <t>Lectoescritura el metodo montessori aprender a leer y escribir para niños inicio de la escritura proceso de lectura y escritura proceso de lectoescritura la lectoescritura aprender a leer y escribir aprender a leer como enseñar a leer a un niño como enseñar a leer y escribir como enseñar a un niño a leer metodos para enseñar a leer como enseñar a escribir metodo montessori como aprender a leer y escribir actividades de lectoescritura enseñar a leer</t>
  </si>
  <si>
    <t>15 dinamicas juegos y actividades recreativas para realizar con adultos mayores 15 dinamiras para personas mayores 15 juegos para personas adultas mayores 15 actividades recreativas para ancianos 15 juegos divertidos para adultos mayores actividades de memoria para adultos mayores 15 juegos de memoria para adultos mayores</t>
  </si>
  <si>
    <t>power point miss zukistrukis juegos virtuales clases virtuales miss kathy png imágenes png imagenes sin fondo imagenes lindas stickers whatsapp telegram maestra kathy botella borracha botella loca ruleta interactiva memorama patitos de feria temporizador la miss que hace power point videos zukistrukis Katherine Balza manualidades y materiales zukistrukis video en power point power point interactivo díadelpadre dado interactivo sopadeletras</t>
  </si>
  <si>
    <t>edutuber edutuber argentina youtuber argentina canal educativo</t>
  </si>
  <si>
    <t>alfabetización digital salud comunicación educativa salud Universidad de La Laguna ULL educación en salud</t>
  </si>
  <si>
    <t>Assange Rafael Correa Ecuador educación ecuador Ministerio de educación ecuador</t>
  </si>
  <si>
    <t>para hacer una tesis pasos para hacer tesis pasos para hacer una tesis guia para hacer una tesis para que se hace una tesis cómo se hace una tesis como se hace un tesis tesis de grado hacer tesis de grado como elaborar tesis de grado</t>
  </si>
  <si>
    <t>La práctica docente en la enseñanza de las ciencias</t>
  </si>
  <si>
    <t>YouTube Editor</t>
  </si>
  <si>
    <t>Familia Sociedad Sociología family educación education sociedad</t>
  </si>
  <si>
    <t>Tecnología Educativa TIC Educación Didáctica y Organización Escolar [215]</t>
  </si>
  <si>
    <t>Alfabetización Salud ALT</t>
  </si>
  <si>
    <t>P1020728</t>
  </si>
  <si>
    <t>tic educacion ict education</t>
  </si>
  <si>
    <t>pregunta investigación titulo proyecto investigación píldoras Enfermería [255]</t>
  </si>
  <si>
    <t>ciencia y género divulgación científica motivación científica Fisiología [410]</t>
  </si>
  <si>
    <t>guillermo morante guillermo morante educarlavoz ejercicios coaching tips como tener voz de locutor vocalización voz tutorial spanish salud como mejorar la voz para cantar como aprender a cantar ejercicios para la voz clases de canto trucos curso graves vocalizacion garganta coach maestro español ejercicio locucion clases profesional ejercicios de vocalizacion remedios para la laringitis fuerte curso de locucion técnica afinar la voz estados unidos canto estiramiento orador</t>
  </si>
  <si>
    <t>Competencia intercultural interculturalidad multiculturalidad cross-cultural píldoras Métodos de Investigación y Diagnóstico en Educación [625]</t>
  </si>
  <si>
    <t>antiguos alumnos alumni universidad</t>
  </si>
  <si>
    <t>Calculadora Estadística descriptiva casio media desviación tipica Estadística e Investigación Operativa [265]</t>
  </si>
  <si>
    <t>M; Molinari C.; Lanz G.; Dapino M; Brena G.; Traverso V.; Paione A; Touriñán</t>
  </si>
  <si>
    <t>Moysén</t>
  </si>
  <si>
    <t>Vida Cooperativa JFK Cooperativa Alfabetización Educación Antioquia</t>
  </si>
  <si>
    <t>educación y medios educativos Generalidades de la alfabetización digital alfabetizacion digital udea ude@</t>
  </si>
  <si>
    <t>nntt</t>
  </si>
  <si>
    <t>tecnologías carreras estudiar información</t>
  </si>
  <si>
    <t>sociedad y tecnologia sociedad y educacion educación y tecnologia pedagogia sevilla informatica nuevas tecnologias aprendizaje audiovisual enseñanza tecnologico education technology society</t>
  </si>
  <si>
    <t>como cantar bien clases de canto curso de canto cantar bien en 5 minutos como cantar bien en 5 minutos lecciones de canto videos de canto como cantar mejor cantar con el diafragma tips de canto curso completo de canto ejercicios de canto tecnicas de canto cantar bien como cantar christianvib</t>
  </si>
  <si>
    <t>¿Qué es el aprendizaje? aprendizaje codaes codaes educación educación</t>
  </si>
  <si>
    <t>rubricas evaluacion calificar</t>
  </si>
  <si>
    <t>SEP prepa en línea SEP Actividad integradora 6</t>
  </si>
  <si>
    <t>Didactica Ecastillo</t>
  </si>
  <si>
    <t>Palabra Maestra Fundación Compartir educación Maestros docentes profesores Recurso Didáctico</t>
  </si>
  <si>
    <t>Universidad Galileo E-Learning Tutor Virtual Tecnología Título Curso Foro</t>
  </si>
  <si>
    <t>síncrono asíncrono eLearning metodologías online COVID-19 BID</t>
  </si>
  <si>
    <t>Educación Enseñanza Docencia docente profesor Educación primaria Educación Secundaria Educación infantil Escuela Colegio Magisterio Taxonomía Bloom Objetivos Secuenciación Programación Didáctica Maestro Aprendizaje Tareas Actividades Aula Javier Gaviño</t>
  </si>
  <si>
    <t>Educatina profesor escuela explicación Las TIC TIC en educación educacion colegio clase ayuda materia secundario qué son las TIC primaria</t>
  </si>
  <si>
    <t>método sqr4 sqr4 sqr3 método sqr3 apuntes sqr4 apuntes sqr3 sqr3 medicina sqr4 medicina método sqr4 medicina sq4r método sq4r apuntes sq4r medicina sq4r sq4r medicina sq4r metodo de estudio metodo sq4r sq4r estudiar tecnicas de estudio faciles tecnica de estudio consejos para estudiar metodo de estudio medicina metodo de estudio como estudiar</t>
  </si>
  <si>
    <t>scratch scratchday scratchjr scratch 3.0 scratch3 programación para niños programación</t>
  </si>
  <si>
    <t>suelo sostenible reconocimiento recuperación preservación gobernanza Energía renovable Recurso renovable Tejido</t>
  </si>
  <si>
    <t>Jaume Josa Jaume Josa Fenés Coaching Escolar La escuela coach Coaching Guial Coaching primer día de clase profesorado Educación.</t>
  </si>
  <si>
    <t>tedx Uruguay (Country) Spanish Language (Human Language) TEDxJoven Montevideo Technology (Professional Field) Entertainment Business Culture Music Community Grooveshark (Website) Pulso Social Onswipe Socialatom Group Entrepreneurship Internet Streaming Media (File Format) Auditorio Adela Reta Andres Barreto</t>
  </si>
  <si>
    <t>Enric Lladó comunicacion coaching presentaciones emociones psicologia negocios empresa</t>
  </si>
  <si>
    <t>video 154 victor toscano victor perez oratoria curso hablar en publico clases de oratoria tecnicas de oratoria hablar en público como hablar en publico exposicion oral como hacer una exposicion como exponer un tema buena exposicion temas interesantes para exponer dinamicas para exposiciones como exponer sin nervios como hacer una presentacion realizar una exposicion preparar una conferencia tecnicas para exponer presentaciones efectivas presentaciones</t>
  </si>
  <si>
    <t>1 Medicina Electrónica y automatización Ciencias ambientales Mercadotécnia y publicidad Negocios y comercio Contabilidad y fiscalización Matemáticas Construcción e ingeniería civil Ingeniería mecanica y metalurgia Ingeniería industrial Mejores carreras de México Carrera mejor pagada de México que carrera estudiar mejores universidades</t>
  </si>
  <si>
    <t>errores graves al hablar en publico errores al hablar en publico errores de oratoria errores de comunicacion habilidades de comunicación oratoria tecnicas oratoria oratoria tecnicas hablar en publico como hablar en publico curso de oratoria</t>
  </si>
  <si>
    <t>Educación del futuro Un día hecho de vidrio A day made of glass (Spanish)</t>
  </si>
  <si>
    <t>arata academy spanish arata academy arataacademy spanish arata academy castellano arata academy espanol seiiti arata seiiti arata spanish seiiti arata castellano como aprender como aprender cualquier cosa maestria george leonard libro george leonard libro maestria</t>
  </si>
  <si>
    <t>pedagogía del oprimido Paulo Freire pedagogo brasileño freire alfabetización alejandria.academy curso de Alejandría José Álvarez alfabetización de Freire método de Freire pedagogía de Freire investigación temática codificación de Freire organización de grupo de Freire sistema educativo horizontal pedagogía crítica educacion liberadora pedagogia del oprimido paulo freire pedagogia paulo freire biografía oprimido pedagogía paulo freire</t>
  </si>
  <si>
    <t>lectura rapida lectura veloz tecnicas de lectura tecnicas de lectura rapida curso de lectura rapida como leer mas rapido leer más rápido comprende mejor ser más inteligente como comprender mejor como ser más inteligente técnicas para estudiar técnicas de memorización para estudiar como memorizar memorizar para estudiar lectura rapida ejercicios lectura rapida tecnicas lectura rapida y comprensiva</t>
  </si>
  <si>
    <t>COMUNICACIÓN MÓVIL</t>
  </si>
  <si>
    <t>como iniciar una presentacion como iniciar una presentacion en publico como hablar en publico como hablar en publico como un profesional hablar en publico presentaciones hablar en publico tecnicas hablar en publico sin miedo hablar en publico sin nervios autoconfianza y seguridad carisma habilidades de comunicacion</t>
  </si>
  <si>
    <t>ONU CINU NotiCINU Información</t>
  </si>
  <si>
    <t>TEDx Spain media tedx talks ted ted talks ted x tedx lifestyle ted talk tedx talk TEDxOviedoUniversity Spanish Technology (Professional Field)</t>
  </si>
  <si>
    <t>constructivismo Vigotsky Piaget Ausubel Novak CECC educación centroamérica enseñanza aprendizaje</t>
  </si>
  <si>
    <t>La educación del Siglo XXI 01</t>
  </si>
  <si>
    <t>Aprendizaje cerebro técnicas de aprendizaje largo plazo Luis Bretel curso gratuito curso online biia estudiar estudiar rápido metodologías de aprendizaje cursos gratuitos aprendizaje educación alternativa educación biia lab</t>
  </si>
  <si>
    <t>TEDxTalks Spanish Spain Education Children Schools Teaching</t>
  </si>
  <si>
    <t>PUCP Universidad Católica Elizabeth Chiuyare Instituto de Docencia Universitaria IDU Planificación de clases</t>
  </si>
  <si>
    <t>ticmas educacion platafoma educativa escuela secundaria alfabetizacion digital alfabetizacion digital ambiente digital localizar informacion investigar analizar tecnologia avances tecnologicos multimedia educacion multimedia educacion tecnologica educacion tecnologica para niños educacion secundaria</t>
  </si>
  <si>
    <t>niña hace tutoriales DIY Lucianas Journal adan roca tijuana tutoriales uki tutoriales padres Padres E Hijos (TV Program) ejercicios para buena lectura como hacer la tarea con tus hijos hijos aprender a leer lectura infantil como aprender a leer leer con tu hijo lectura leer mejor buena lectura alfabeto móvil tips para aprender a leer tips de lectura infantil lectoescritura inicial jugando a leer como hacer que mi hijo aprenda a leer</t>
  </si>
  <si>
    <t>hablar en público public speaking oratoria presentación iniciar presentación</t>
  </si>
  <si>
    <t>Maestro docente profesor educación inspiracional inspiración motivacional motivación aprendizaje alumno escuela pedagogía impulso cambio recordar guiar amco metodología método significativo significado</t>
  </si>
  <si>
    <t>Analfabetismo Digital Colombia Digial TIC Información Internet Red Web. 2.0</t>
  </si>
  <si>
    <t>game math alfabetización digital TIC educación</t>
  </si>
  <si>
    <t>meditaciones meditacion louise hay louise l. hay 101 pensamientos positivos</t>
  </si>
  <si>
    <t>GaDOE Georgia Department of Education</t>
  </si>
  <si>
    <t>rastrear movil rastrear celular movil robado movil perdido movil extraviado android google maps como localizar mi celular robado por google maps como localizar mi celular robado con el numero como localizar mi celular perdido como localizar mi celular perdido por gmail como encontrar un celular perdido con google maps como rastrear un celular por google maps como localizar mi movil perdido como encontrar mi movil perdido como rastrear mi movil robado</t>
  </si>
  <si>
    <t>FormaciónSmart Formación Capacitación FormaciónOnline CapacitaciónOnline Curso Programa CursoOnline ProgramaOnline Empresa CapacitaciónOnlineEmpresarial Aprendizaje Elearning</t>
  </si>
  <si>
    <t>ted x tedx Spanish Costa Rica TEDxTalks Communication ted Education reform Internet ted talk Ideas Creativity ted talks tedx talk Digital tedx talks Technology</t>
  </si>
  <si>
    <t>fes fes acatlán facultad facultad de estudios superiores facultad de estudios superiores acatlán literatura literatura digital social media redes sociales social media acatlán claudia alba retuit retuit con gaby tlaseca gaby tlaseca gabriela tlaseca tv mexiquense mexiquense tv marketing digital digital marketing web</t>
  </si>
  <si>
    <t>Visual Literacy</t>
  </si>
  <si>
    <t>DW Deutsche Welle Noticias News Español Spanish tecnología y mundo digital</t>
  </si>
  <si>
    <t>universidad politécnica madrid upm españa politecnica ingenieria educacion ciencia docencia videos educativos clases seminarios innovacion</t>
  </si>
  <si>
    <t>Cómo desactivar la geolocalización de Google y no morir en el intento SEGURIDAD EN ANDROID: CÓMO DESACTIVAR EL SEGUIMIENTO POR LOCALIZACIÓN Como activar o desactivar el rastreo de ubicaciones de Google Maps CÓMO DESACTIVAR LA UBICACIÓN GPS DE TU TELÉFONO CÓMO ACTIVAR LA UBICACIÓN GPS DE TU TELÉFONO</t>
  </si>
  <si>
    <t>Universidad de Navarra UNAV Miriada X MOOC docencia escuela profesor educación enseñanza aprendizaje alumno recursos digitales innovación educativa tecnología</t>
  </si>
  <si>
    <t>Aprender Conectados Series educativas Somos digitales</t>
  </si>
  <si>
    <t>IMPORTANCIA DE LAS CIENCIAS SOCIALES CIENCIA POLÍTICA SOCIOLOGÍA ANTROPOLOGÍA ECONOMÍA PSICOLOGÍA HISTORIA</t>
  </si>
  <si>
    <t>aprendo 2013</t>
  </si>
  <si>
    <t>Objetivos educación educación subversiva</t>
  </si>
  <si>
    <t>El nuevo rol del maestro en el siglo XXI</t>
  </si>
  <si>
    <t>CANCLINI2</t>
  </si>
  <si>
    <t>Educación Ciencias de la educación Campo laboral ciencias de la educación Pedagogía Sociología educativa Psicología educativa</t>
  </si>
  <si>
    <t>CALAS Fellowships EnsayosCALAS Canclini Comunicación</t>
  </si>
  <si>
    <t>Diálogos sobre Educación La importancia de la evaluación en Prof. Ana Ribeiro Dr. Pablo Da Silveira Pedro Ravela Asuntos Públicos Uruguay</t>
  </si>
  <si>
    <t>Alex Rovira la educacion del ser el ser interior la buena suerte la brujula del ser Álex Rovira Celma motivación Jonas Lopez</t>
  </si>
  <si>
    <t>tecnología tecno cómo funciona programa tv novedades nuevo sistema</t>
  </si>
  <si>
    <t>soy docente maestro y profesor coaching educativo lectoescritura spreaker capacitación videoblog material didactico estimulacion temprana curso tic etapas de la escritura cuales son las etapas de la escritura etapa presilabica etapa silabica etapa alfabetica</t>
  </si>
  <si>
    <t>comunicación sin barreras proceso de la comunicación dinámica de comunicación constructivismo dinámicas de grupo barreras en la comunicación</t>
  </si>
  <si>
    <t>educación tic</t>
  </si>
  <si>
    <t>protocolo.org Vulgaridad Fino Mala educación Gesto Comunicación No verbal Comunicar Transmitir Lenguaje Ademán Acción Movimiento Mueca Moda Enseñar Provocar Molestar Grosero Ordinario Chabacano Tosco Basto Hablar Comportamiento Mirar Invadir Protocolo y Etiqueta RTVE Para todos la 2 Teresa Baró</t>
  </si>
  <si>
    <t>importancia de la alfabetizacion digital porque es importante alfabetizarnos digitalmente alfabetizacin digital tic objetos o dispositivos tecnologicos alfabetizacion digital y el mundo alfabeti</t>
  </si>
  <si>
    <t>video emilia</t>
  </si>
  <si>
    <t>innovación educativa formación docente tecnología educativa educación maestros estudiantes covid-19 coronavirus competencias aprendizaje habilidades Olga Agudelo Javier Firpo Virtual Educa webinar seminario</t>
  </si>
  <si>
    <t>Brecha digital Digital devide TIC Internet ap Educación Aprendizaje Enseñanza Universidad Magisterio ESOCON Sociedad del conocimiento</t>
  </si>
  <si>
    <t>Aprender Conectados Nivel Inicial Florencia Ripani</t>
  </si>
  <si>
    <t>Coronilla a San Miguel Arcángel Coronilla a San Miguel San Miguel Arcángel Oración a San Miguel Arcángel Coronilla de San Miguel Arcángel oracion poderosa a San Miguel Arcángel arcangel miguel oracion a los arcángeles poderosa oración a San Miguel Arcángel poderosa oración a los Arcángeles sanacion oracion catolica oración católica a san miguel arcángel coronilla san miguel arcángel dios</t>
  </si>
  <si>
    <t>liquidación de prestaciones sociales cesantías intereses cesantias vacaciones prima de servicios</t>
  </si>
  <si>
    <t>escuelas argentinas II</t>
  </si>
  <si>
    <t>Digiaventuras Aprender Conectados Educación digital Programación y robótica</t>
  </si>
  <si>
    <t>preparar clase tic aprendiendo con tic clase 2.0 como preparar una clase aula 2.0 tic en el aula aula clase clase de música clase con tic educación y tecnología ambientes de aprendizaje clases a distancia aula y tecnología</t>
  </si>
  <si>
    <t>COEDI Congreso Educación Inicial robótica programación pensamiento computacional educación digital y nivel inicial</t>
  </si>
  <si>
    <t>Educación digital Digiaventuras Series educativas Programación Robótica Aprender Conectados</t>
  </si>
  <si>
    <t>#CDigital_INTEF Formación del profesorado INTEF MOOC Comeptencia digital</t>
  </si>
  <si>
    <t>vídeos para padres vídeos educativos educación infantil Guiainfantil embarazo embarazadas vídeos para embarazadas aprender de memoria memorizar estudiar esquemas aprender a estudiar estudiar comprendiendo hacer esquemas cómo estudiar entender colegio exámenes aula escuela deberes</t>
  </si>
  <si>
    <t>didáctica pedagogía educación didáctica específica didáctica general UNIMINUTO Didactic Method</t>
  </si>
  <si>
    <t>vídeos para padres vídeos educativos educación infantil Guiainfantil escritura lectoescritura aprender a escribir escribir iniciación a la lectoescritura etapa infantil motricidad motricidad fina psicomotricidad fina ejercicios aprender escribir estimular la escritura ortografía gramática alfabeto abecedario guía para padres enseñar a escribir juegos para escribir niños escritores</t>
  </si>
  <si>
    <t>Tecnología Educación Herramientas Profesor Clases josé vargas como usar una pizarra digital tutorial pizarra digital republica digital como uso una pizarra digital</t>
  </si>
  <si>
    <t>Caminos de Tiza Mirta Goldberg Educación Escuela Escolaridad Cultura Programa TV Televisión Argentina Televisión Pública Argentina TV Pública TPA TVPA ATC Canal 7 María Elena Cuter Edgle Pitón Claudia Molinari Pablo Pineau Nora Benítez María Cristina Peregalli Mariel Luján Zaninovich Ivana Szac Alfabetización inicial</t>
  </si>
  <si>
    <t>como ser buen maestro que tus alumnos te quieran como ganarte a tus alumnos como ser un buen profesor como crear vinculo educativo como ser una buena maestra como hacer que tus alumnos te quieran como triunfar como docente trucos para conectar con los alumnos conectar con los alumnos estrategias para maestros consejos para profesores consejos para maestros maestra maestro profesor consejos maestros primerizos consejos maestros novatos como dar una clase docente</t>
  </si>
  <si>
    <t>Lectura Momentos de la lectura Comprensión</t>
  </si>
  <si>
    <t>EdPuzzle flipped classroom Recursos Educativos Video en el aula Tutorial Edpuzzle</t>
  </si>
  <si>
    <t>Educación Profe Profesora Educadora Niños Preescolar Kinder Infantil Homeschooling Educación En Casa Maestra Escuela Aprendizaje Infancia Kindergarden Crianza Pedagogía Educación Alternativa nombre propio aprendiendo el nombre propio reconociendo el nombre propio aprendizajes clave campos de formación académica lenguaje y comunicación aprendiendo a escribir mi nombre aprender a escribir aprender a leer leer y escribir niños aprendiendo a leer conciencia fonológica</t>
  </si>
  <si>
    <t>DW Deutsche Welle Noticias News Español Spanish Argentina Buenos Aires Brecha digital desigualdad educativa educación pandemia educación virtual zoom Justicia Social</t>
  </si>
  <si>
    <t>Tablet educación Mineduc Enlaces TIC Tecnología</t>
  </si>
  <si>
    <t>Rutina de ejercicios rutina de entrenamiento entrenamiento ejercicios fáciles estiramientos quemar grasas ejercicios relajación relajación cómo relajarse yoga respiración ejercicios de respiración ejercicios para adelgazar ejercicios para perder peso entrenamiento perfecto ejercicios espalda ejercicios cintura ejercicios glúteos glúteos perfectos abs gym fitness estirar gym patry jordan gym virtual</t>
  </si>
  <si>
    <t>Alfabetización inicial examen de oposicion guia lecturas</t>
  </si>
  <si>
    <t>Educación. Cs. Sociales Humanidades. Conocimiento. Aprendizaje.</t>
  </si>
  <si>
    <t>Biblioteca Ciencias de la Información Biliotecología Alfabetización informacional ALFIN Ciencia LLCCHH CCII</t>
  </si>
  <si>
    <t>Lectura Escritura Leer Escribir Lectura rapida leer facilmente hablar más rapido niños problematicos lectoescritura aprender a leer y escribir aprender a leer y escribir jugando</t>
  </si>
  <si>
    <t>alfabetización digital upiicsa ipn cibercultura ciberte@m tics sociedad</t>
  </si>
  <si>
    <t>Pérez Tornero alfabetización mediática nuevas alfabetizaciones Leer.es lectura congreso Ministerio de Educación</t>
  </si>
  <si>
    <t>Animated Clip Free animation software Animated Videos Free Presentation software Animated Presentation Make your own animation competencias Presentation software Explainer video PowToon alfabetización informacional</t>
  </si>
  <si>
    <t>ineaopor</t>
  </si>
  <si>
    <t>ingles español ingles en español ingles gratis aprender ingles clases ingles clases de ingles frases ingles frases en ingles curso ingles ingles online verbos en ingles curso de ingles videos ingles como aprender ingles mejor ingles abecedario ingles abecedario en ingles ingles ya pronunciacion ingles cursos de ingles cursos ingles yt:cc=on gramatica inglesa curso de ingles gratis clases de ingles gratis ingles english</t>
  </si>
  <si>
    <t>material didactico estimulacion temprana como enseñar a leer metodos para enseñar a leer y escribir ejercicios para enseñar a leer y escribir Métodos para que los niños aprendan a leer proceso de la lectura como enseñar a leer en casa aprender a leer en casa aprender a escribir en casa como enseñar a leer a un adulto alfabetizacion El Método Doman para Enseñar a Leer Métodos de enseñanza de la lectura Cómo enseñar a leer y escribir Cómo aprenden los niños a leer</t>
  </si>
  <si>
    <t>INNOVAR INNOVACIONES EDUCATIVAS DGEGP</t>
  </si>
  <si>
    <t>atajos mas utiles teclado computadora 15 funciones ocultas los atajos de teclado atajos utiles</t>
  </si>
  <si>
    <t>TEDxTalks Spanish Argentina Education TEDxRíodelaPlata Buenos Aires Teach for All Teach For America (Nonprofit Organization) Enseñá por Argentina Shiny eyes Ojos que brillan Role models Teachers Maestros Profesores Usina del Arte</t>
  </si>
  <si>
    <t>Claudio Naranjo</t>
  </si>
  <si>
    <t>basico1 aprender computacion computacion basica conocer windows</t>
  </si>
  <si>
    <t>curso basico decomputacion computacion informatica como saber manejar computadora desde cero principiante</t>
  </si>
  <si>
    <t>Conectar dos computadoras con cable Ethernet How to connect two computers with ethernet cable</t>
  </si>
  <si>
    <t>gabak gabaktech instalcion rack puesto trabajo organizacion cable redes networking red</t>
  </si>
  <si>
    <t>Emilio Tenti Fanfani fanfani</t>
  </si>
  <si>
    <t>introduccion redes clases completa tutorial curso cursos clases networking informatica computacion red cursos de redes clase que es una red</t>
  </si>
  <si>
    <t>Informatica sistemas cursos videotutoriales formacion</t>
  </si>
  <si>
    <t>Entorno de trabajo de windows Manejo de ventanas en Windows Escritorio de windows Windows 7 desktop basic Microsoft Windows (Operating System) Computer</t>
  </si>
  <si>
    <t>internet gratis wifi ilimitado configuracion problemas red servidor lan acceder</t>
  </si>
  <si>
    <t>curso redes gratis introducción informatica teleinformatica telematica topologia redes tipos nodos tipos enlaces redes broadcast locales básico conectividad redes computadores redes informáticas telecomunicaciones internet nivel avanzado</t>
  </si>
  <si>
    <t>Inés Dussel Adrián Paenzas Educación</t>
  </si>
  <si>
    <t>Qué es Internet Definición de Internet diferencia Internet y web Qué es la Web RONIN Educación RONIN Online curso de programación para niños RONIN Programación Tecnología para niños Tecnología para jóvenes Internet y Web Internet web cómo funciona Internet</t>
  </si>
  <si>
    <t>itea itea tlaxcala Instituto Tlaxcalteca para La Educación de los Adultos Tlaxcala ITEA INEA inea</t>
  </si>
  <si>
    <t>Curso de programacion como aprender a programar tutoriales de programacion como ser programador curso de software como hacer un programa programacion aprender a programar desde cero como hacer how to do como hago curso de programacion basica curso para parender a programar curso de programacion gratis</t>
  </si>
  <si>
    <t>En tic confío Mintic ministerio tic pantallas digitales menosres de edad ciberdependencia</t>
  </si>
  <si>
    <t>seguridad informática hacking lionsec LionSec lionsec.net hacker</t>
  </si>
  <si>
    <t>redes windows 7 red domestica grupo de hogar configurar compartir videos documentos tutorial video tutorial Home Network (Product Category) Red</t>
  </si>
  <si>
    <t>ciencia divulgación TICS Tecnología Educación Education (TV Genre) Virtual education Educación Virtual Manuel Moreno Castañeda UDG virtual SUV Innovation (Quotation Subject) Innovación Information And Communications Technology (Literature Subject) Universidad animación</t>
  </si>
  <si>
    <t>Curso de redes sociales curso de community manager community manager Social Media Manager</t>
  </si>
  <si>
    <t>educacion Educación redes sociales adama juan garcia blogoff juan tedx talk tecnología tedx talks TEDxValencia 2013 garcía social tedx ted x education media spain ted talk technology nativos digitales redes Spanish Language (Human Language) nativos tedxvalencia2013 ted talks social media ted juan garcía tecnologia spanish TEDxValencia garcia</t>
  </si>
  <si>
    <t>Internet Protocol (Invention) internet network redes principios</t>
  </si>
  <si>
    <t>virtual educa educación tecnología google google for education gafe puerto rico VE2016PR innovación investigación desarrollo aula aula innovadora buenas prácticas tecnología educativa aprendizaje aprender con tecnología tecnología en el aula aulas tecnológicas herramientas educativas fran garcía cómo educar con tecnología tic tecnologías digitales ict education Francisco Javier García Calvo</t>
  </si>
  <si>
    <t>Transformación Digital Software Gestión Ciberseguridad MarketingOnline Digitalización de Procesos Business Intelligence Cloud Talento Sistemas EstrategiaDigital Tableau BigData Tienda Online</t>
  </si>
  <si>
    <t>Webcast webcast de formación profesorado leer.es lectura Ministerio de Educación formación del profesorado lectura digital emilia ferreiro</t>
  </si>
  <si>
    <t>mora gobierno local alfabetizacion</t>
  </si>
  <si>
    <t>Ednovae TicAdd Alfabetización Digital Alfabetización Digital Divertida Presentación de TicAdd TicAdd: Alfabetización Digital Divertida</t>
  </si>
  <si>
    <t>lectura escritura poesía María Elena Walsh rima entonaciones escritura en el pizarrón recomposición de palabras juegos del lenguaje.</t>
  </si>
  <si>
    <t>Screencast-O-Matic.com</t>
  </si>
  <si>
    <t>educacion silencio escuela niños dislexia professores alumnos escuela nueva creatividad educacion emocional montessori waldorf escuela progresista eduard punset</t>
  </si>
  <si>
    <t>PowToon Presentation Animation</t>
  </si>
  <si>
    <t>IES Joanot Martorell Elx Elche territori creatiu creatividad educacion ESO plastica visual EPYV dibujo audiovisual CAV animación stop motion painting crafts arts</t>
  </si>
  <si>
    <t>How to Create EPIC Hype Reels epic hype reels Hype Reel Editing Secrets editing sport videos sport video editing hacks sport hype reel sport videos epic sports videos sport video editing premiere pro How to Make a Highlight Video basketball showreel football showreel sports showreel sport videography how to make sport showreel how to make sport highlight reel sports videography tips sport video tutorial how to make sports hype videos beyond the game tv</t>
  </si>
  <si>
    <t>rockwall vs. heath i-30 classic recap video brenden williams rockwall yellowjackets heath hawks texas high school football football rivalry best football hype video</t>
  </si>
  <si>
    <t>RPP NADA ESTÁ DICHO REDES SOCIALES FACEBOOK TWITTER INTERNET Alfabetización Digital</t>
  </si>
  <si>
    <t>DIY Fundas para Celular CASERAS Fundas para Celular CASERAS DIY Fundas para Celular Fundas para movil DIY fundas caseras para celular fundas de telefono diy</t>
  </si>
  <si>
    <t>Atlántico Misión TIC 2022 Programación Ministerio TIC Emprendimientos</t>
  </si>
  <si>
    <t>#InfluencerTIC #MinTIC</t>
  </si>
  <si>
    <t>como hacer un ebook en canva como hacer un ebook cómo hacer un ebook en canva como crear un ebook en canva como crear un ebook gratis como crear un ebook para vender crear un ebook como hacer un ebook en pdf noelia reginelli como crear un Ebook con Canva crear ebook con canva ebook canva como hacer un libro digital crear libro digital gratis libro digital pdf como crear un ebook crear ebook gratis crear un ebook 2021 cómo crear un ebook ebook en canva</t>
  </si>
  <si>
    <t>Identidad Digital Ciberseguridad OSI Internet</t>
  </si>
  <si>
    <t>Ministerio TIC Barranquilla Vende Digital emprendimiento ventas digitales</t>
  </si>
  <si>
    <t>Misión TIC 2022 Ministerio TIC Programación Inglés Clases</t>
  </si>
  <si>
    <t>Misión TIC 2022 Ministerio TIC Programación Bogotá</t>
  </si>
  <si>
    <t>Ministerio de comunicaciones Ministerio TIC MINTIC Vive Digital @Minsterio_TIC Internet Televisión Tecnología Información Municipios Colombia Gobierno Computadores Contenidos Digitales TIC Fibra óptica Computadores para Educar Diego Molano Vega Maria Carolina Hoyos</t>
  </si>
  <si>
    <t>Sordos persona sorda fundesor discapacidad diversidad discapacidad auditiva señas lengua de señas signos LSC interprete interprete de señas verbos inclusión</t>
  </si>
  <si>
    <t>gobierno de chile secretaría general de gobierno chile segegob msgg secretaría de comunicaciones secom chile te informa</t>
  </si>
  <si>
    <t>how to speak English; learn English with the BBC; BBC masterclass; learning speaking tutorial; language vocabulary; natural native British; conversational official master class; lesson; speaker; authentic course; ELT; lesson planning; plan; Inglês; Inglés; 英語; الإنجليزية; 영어; อังกฤษ; Anh GTD Go the Distance digital literacy OU Open University distance learning EAP</t>
  </si>
  <si>
    <t>Telemundo María Celeste america latina lartinostrong Colombia empresarion inpiracion motivacion panaderia Joven colombiano se convierte en un exitoso empresario a sus 23 años Joven colombiano se convierte en un exitoso empresario empanadas en la calle exitosa panadería en Colombia la garosa panes la garosa dueño de la garosa barranquilla vendedor callejero empresas empresas de comida empresarios emprendimiento jóvenes empresarios</t>
  </si>
  <si>
    <t>carpintero del desierto como usar una fresadora router router para madera fresadora para madera router de palma router de superficie uso de la router fresadora o recortadora fresadora o router fresadora o tupi router bosch como usar una router uso de la tupy fresas para router</t>
  </si>
  <si>
    <t>Necesidades Educativas Especiales necesidades educativas Necesidades Educativas Especiales pdf Necesidades Educativas Especiales definición Necesidades Educativas Especiales transitorias Necesidades Educativas Especiales tipos Necesidades Educativas Especiales becas Necesidades Educativas Especiales ayudas Necesidades Educativas Especiales que es Necesidades Educativas Especiales que significa alumno con necesidades educativas especiales que es</t>
  </si>
  <si>
    <t>estudio de mercado plan de marketing vender más iniciar un negocio emprender un negocio éxito para emprendedores como vender como tener clientes ganar dinero business plan emprendeduría precio correcto errores de emprendedores objetivos y metas productividad emprender con éxito planificar como organizarse</t>
  </si>
  <si>
    <t>education edutopia edutopia videos k-12 teaching learning classroom teaching strategy education tips how-to education technology education videos teaching tips george lucas foundation education how-to videos</t>
  </si>
  <si>
    <t>Convergencias y Divergencias: Brechas digitales en México Brechas digitales en México Brechas digitales digitales en México Convergencias y Divergencias Convergencias Divergencias tema de la brecha digital acceso a la tecnología telecomunicaciones noticias mexico entrevista acceso tecnologia excelsior television periodico excelsior excelsior</t>
  </si>
  <si>
    <t>Aprender Conectados microaprendizaje alfabetización digital</t>
  </si>
  <si>
    <t>Salud Internet Competencias digitales esalud IC-Health alfabetización en salud</t>
  </si>
  <si>
    <t>#creatividad_inclusiónMPM arte inclusivo inclusión social integración social Inclusion</t>
  </si>
  <si>
    <t>proyecto investigación investigación cualitativa investigación cuantitativa protocolo investigación píldoras Enfermería [255]</t>
  </si>
  <si>
    <t>uepc FLACSO Flavia Terigi</t>
  </si>
  <si>
    <t>alfabetización inicial escuelas rurales</t>
  </si>
  <si>
    <t>analfabetismo educación lima peru</t>
  </si>
  <si>
    <t>giocode giova50000 giovaelpetv hacking vpn red privada virtual x-vpn.io seguridad netflix geo-blocking navegar anonimamente throttling evitar el throttling evitar el geo-blocking evitar el geo-blocking netflix como usar una vpn vpn netflix navegar de forma segura proteger la privacidad en internet</t>
  </si>
  <si>
    <t>video prácticas preparación de la aspirina ácido acetilsalicílico ácido salicílico microondas filtración cristalización tricloruro de hierro práctica de química Química Orgánica [765]</t>
  </si>
  <si>
    <t>leer.es biliotraileeres corto animación lectura animación</t>
  </si>
  <si>
    <t>Crece Leyendo Conmigo fomento de lectura familias leer en familia alfabetizaciones múltiples educación afectivo sexual prevención drogodependencias vida saludable alimentación salud física salud emocional deporte contaminación higiene bienestar</t>
  </si>
  <si>
    <t>leer.es alfabetización digital scratch programación animación a la lectura</t>
  </si>
  <si>
    <t>fomento de lectura familias educación leer en familia leer libros recursos alfabetizaciones múltiples desarrollo sostenible educación para el desarrollo transición ecológica sostenibilidad responsabilidad ecología ODS Objetivos de Desarrollo Sostenible Agenda 2030 consumismo reciclaje cambio climático acción por el clima</t>
  </si>
  <si>
    <t>Crece Leyendo Conmigo fomento de lectura familias leer en familia leer libros recursos alfabetizaciones múltiples convivencia democracia diálogo familia convivencia positiva acoso justicia solidaridad honestidad no violencia tolerancia respeto colaboración escuela alumnado alumnos alumnas profesoras profesores modelos maestro maestra armonía</t>
  </si>
  <si>
    <t>Crece Leyendo Conmigo fomento de lectura familias leer en familia leer libros recursos alfabetizaciones múltiples desinformación bulos fake news medios de comunicación redes sociales espíritu crítico alfabetización mediática alfabetización informacional infodemia</t>
  </si>
  <si>
    <t>como ganar a la competencia competencia como vender mas sin bajar precios neuromarketing neuroventas marketing clientes percepcion ventas internet online mercadeo espanol web pagina web lrsv05 nomarketing luis r silva luisrsilva</t>
  </si>
  <si>
    <t>elearning TIC educación aula virtual docencia virtual Didáctica y Organización Escolar [215]</t>
  </si>
  <si>
    <t>Lectura Dialógica Dialogic Reading Lectura Temprana Educación Temprana Alfabetización Cuentos para crecer</t>
  </si>
  <si>
    <t>inteligencia matemática Inteligencia Lungüistica Inteligencia lógica matemática inteligencia musical inteligencia naturalista inteligencia espacial.</t>
  </si>
  <si>
    <t>educacion alfabetizacion digital tic</t>
  </si>
  <si>
    <t>EAVI Un viaje la Alfabetización Mediatica educación mediática</t>
  </si>
  <si>
    <t>elearning tic educación entorno online aula virtual objeto de aprendizaje videoclase videolección Didáctica y Organización Escolar [215]</t>
  </si>
  <si>
    <t>alfabetización digital educación mediática</t>
  </si>
  <si>
    <t>Mr. Bean Cartoon World funny cartoon ANIMATION bean cartoon mr bean cartoons mister bean MR BEAN mister bin mr bean 2017 english comedy bean</t>
  </si>
  <si>
    <t>rudra kids nick nickelodeon voot voot kids shiva gattu battu daduji keymon ache motu patlu pakdam pakdai learning magic magician grandpa grandma shakaal minions powers full episode 1 fight evil cartoon hero monsters show adventurous entertainment expedition villians super power fly</t>
  </si>
  <si>
    <t>Microbiology Lecture NG</t>
  </si>
  <si>
    <t>TEDTalk TEDTalks science cognitive science communication language brain humanity sound</t>
  </si>
  <si>
    <t>Animated Clip Animated Videos Animated Presentation Make your own animation PowToon for EDU Presentation software Explainer video PowToon</t>
  </si>
  <si>
    <t>CONOCIMIENTO</t>
  </si>
  <si>
    <t>educacion pedagogía gestión escuela ensenanza directivos supervisión supervisores educación a distancia educación en cuarentena escuela virtual pandemia argentina clase virtual profesores maestros educadores</t>
  </si>
  <si>
    <t>habilidades tic aprendizaje estudiantes era digital siglo xxi ict skills tecnología educación Information And Communications Technology (Exhibition Subject) education</t>
  </si>
  <si>
    <t>Microaprendizaje Ministerio de Educación</t>
  </si>
  <si>
    <t>educación digital comunicación educativa TIC ULL Universidad de La Laguna digital education flipped classroom educational communication ICTs University of La Laguna</t>
  </si>
  <si>
    <t>Marc prensky nativos digitales educación nativos digitales Vodafone Vodafone one #VodafoneOne el futuro es One ElFuturoEsOne #ElFuturoEsOne El Mundo elmundo.es one.elmundo.es</t>
  </si>
  <si>
    <t>digital literacy technology technology skills online learning online lessons technology lessons tech literacy online safety coding coding lessons online safety lessons keyboarding keyboarding lessons digital apps technology apps learning.com google classroom schoology canvas clever</t>
  </si>
  <si>
    <t>UNCA universidad nacional educación Catamarca Argentina NOA ciencia ciencias tecnología rector agrarias humanidades salud facultad estudio profesional CMU centro medios conicet extensión</t>
  </si>
  <si>
    <t>digital literacy media literacy media education media education network internet digital for teachers for students what is digital literacy explaining digital literacy define digital literacy teacher resources class tools</t>
  </si>
  <si>
    <t>Animated Clip herramienta recurso Free animation software Animated Videos Free Presentation software Animated Presentation Make your own animation Presentation software educacio Explainer video PowToon TIC</t>
  </si>
  <si>
    <t>Recursos educativos digitales abiertos Recursos multimedia e interactivos Recursos audiovisuales educativos Creacion de recursos multimedia interactivos videos educativos sendatec.net uso de audiovisuales</t>
  </si>
  <si>
    <t>Video interactivo Eric Efrain Video Eric Efrain Solano Uscanga H5P</t>
  </si>
  <si>
    <t>Explainer video Animated Videos PowToon Presentation software Animated Clip Free animation software Animated Presentation Make your own animation Free Presentation software</t>
  </si>
  <si>
    <t>roxana falasco videocursos online video cursos online programas para hacer videos explicativos programas para crear videos explicativos vídeos explicativos vídeo scribing como hacer vídeos explicativos como hacer videos explicativos animados gratis doodly videoscribe vyond moovly explandio video explicativo videos animados video de pizarra hacer videos animados</t>
  </si>
  <si>
    <t>brouserweb programas para hacer videos explicativos programas para crear videos explicativos vídeos explicativos como hacer vídeos explicativos como hacer videos explicativos animados gratis video explicativo videos animados video de pizarra hacer videos animados paginas para hacer videos explicativos herramientas para hacer videos explicativos mejores programas crear videos explicativos hacer videos explicativos hacer videos explicativos animados dar clases video</t>
  </si>
  <si>
    <t>tecnología digital Recursos digitales</t>
  </si>
  <si>
    <t>waiting in vain bob marley waiting in vain bob marley bob marley waiting in vain bob marley and the wailers waiting in vain waiting in vain bob marley and the wailers marley waiting in vain lyrics bob marley the wailers bob marley reggae waiting in vain the wailers bob marley songs waiting in vain bob marley lyrics waiting in vain (composition) bob marley - wait in vain bob marley (singer-songwriter) bob marley - waiting in vain bob bob marley wait in vain</t>
  </si>
  <si>
    <t>cómo compartir mi internet desde mi celular Android cómo crear una zona Wifi en mi celular Android cómo compartir internet desde un celular Android a un computador cómo funciona Android cómo usar Android cómo utilizar Android cómo funciona el sistema Android sistema Android GCF aprende libre GSF aprende libre GCF latino</t>
  </si>
  <si>
    <t>comunicación audiovisual el planeta americano vicente verdú academia de las artes y las ciencias cinematográficas cine español cine y educación cine educativo cine educativo para adolescentes cine educativo para niños cine para educarme peliculas educativas peliculas educativas para niños peliculas educacion social peliculas educacion emocional peliculas educacion en valores primaria peliculas educacion peliculas educativas para adolescentes completas</t>
  </si>
  <si>
    <t>Educación Colombia Ministerio de Educación Calidad educativa Maestros Microlecciones Todos a Aprender Microlecciones MIcrolección El Cuadrorama El Cuadrorama como estrategia de comprensión lectora</t>
  </si>
  <si>
    <t>cómo crear un libro nuevo en Excel 2016 cómo abrir un nuevo libro en Excel 2016 cómo usar Excel cómo utilizar Excel 2010 para qué sirven las herramientas que tiene Excel GCF aprende libre GSF aprende libre GCF latino</t>
  </si>
  <si>
    <t>tecnicas de estudio estrategias de estudio aprender a aprender cursos de tecnicas de estudio técnicas de concentración tescnicasestudiometa1 tecnicas de aprendizaje metodos de enseñanza aprendizaje metodos de enseñanza como estudiar mejor como estudiar estudiar mejor estudiar mejor Universidad</t>
  </si>
  <si>
    <t>Video01</t>
  </si>
  <si>
    <t>herramientas digitales para la educacion ranking digital ranking aplicaciones digitales top herramientas para la educacion tecnologia educativa recursos didacticos digitales herramientas digitales para el aprendizaje #QuédateEnCasa y Aprende #Conmigo</t>
  </si>
  <si>
    <t>MARIO BONILLA</t>
  </si>
  <si>
    <t>ADA Asociación amigos del aprendizaje cursos ada Curso Lenguaje y Cognición Preescolar 1</t>
  </si>
  <si>
    <t>cómo leer un correo electrónico cómo responder un correo cómo reenviar un correo cómo responder un correo electrónico cómo reenviar un correo electrónico cómo crear un email cómo abrir un email cómo crear un correo electrónico cómo abrir un correo electrónico cómo crear un mail cómo abrir una cuenta de correo electrónico cómo tener un correo electrónico cómo usar un correo electrónico qué es un correo electrónico qué es un mail GCF aprende libre</t>
  </si>
  <si>
    <t>Video Constructivismo Teorias pedagógicas</t>
  </si>
  <si>
    <t>juegos learn languages gcse spanish profe de ele profesor de español juego aprende español maestro maestra</t>
  </si>
  <si>
    <t>cómo crear una diapositiva sencilla en PowerPoint cómo cambiar el tamaño de las diapositivas en PowerPoint cómo crear una diapositiva sencilla en Google cómo cambiar el tamaño de las diapositivas en Google cómo crear una diapositiva sencilla en Keynote Presentaciones básicas en PowerPoint Presentaciones básicas en Google Presentaciones básicas en Keynote cómo usar PowerPoint cómo usar presentaciones de Google GCF aprende libre GSF aprende libre GCF latino</t>
  </si>
  <si>
    <t>Atajos del teclado con excel atajos teclado microsoft excel Excel Trucos y tips de excel trucos de excel tips de excel tips en excel combinación de teclas de excel combinación de teclas trucos en excel excel tutorial excel curso de excel atajos con el teclado configurar página de excel configurar hoja de excel 20 trucos y tips de excel tips y trucos de excel tips para excel trucos de excel para impresionar al jefe</t>
  </si>
  <si>
    <t>Colegio Escuela Costa Rica IPICIM</t>
  </si>
  <si>
    <t>pelo d'ambrosio lejos de ti musica andina huayno perú folklore peruano pelo de ambrosio pelo de ambrosio alpaquitay pata amarilla maicito william luna pata amarilla alpaquitay pelo de ambrosio alpaquitay como hare pelo de ambrosio pelo d ambrosio esta noche maicito eres peruano como yo</t>
  </si>
  <si>
    <t>#herramientasdigitales #clasesvirtuales #teletrabajo #teams #meet #forms #site #quizizz #facebook #WhatsApp #Instagram #zoom #canva #kahoot #edpuzzle #youtube #telegram #genialy #googleclassrom #mentimeter #powerpoint #blooger #microsoftteams #googledocs</t>
  </si>
  <si>
    <t>MINEDU UNESCO UGEL CEBA alfabetizacion analfabetismo adultos</t>
  </si>
  <si>
    <t>Digital Rocío Brauer ¿Qué es el civismo digital? Civismo digital Brecha digital Tecnologías de la Información y la Comunicación tecnología de la información moderna TIC Canal Once Canal 11 CanalOnce Canal11 Once TV OnceTV Once TV México Once TVMéxico Once El Once OnceTV México Rocio Brauer</t>
  </si>
  <si>
    <t>CURSOS VIRTUALES PERUEDUCA CURSOS VIRTUALES PERUEDUCA 2021 CURSOS VIRTUALES GRATIS 2021 CURSOS VIRTUALES PARA DOCENTES 2021 CURSOS VIRTUALES GRATUITOS PERUEDUCA POARA DOCENTES CURSOS PERUEDUCA 2021 CURSOS VIRTUALES PERUEDUCA PARA DOCENTES PERUEDUCA PERUEDUCA CURSOS VIRTUALES CURSOS VIRTUALES PARA DOCENTES ABRIL 2021 CURSOS PERUEDUCA MINEDU CURSOS VIRTUALES DEL MINEDU CURSOS VIRTUALES PARA PROFESORES CURSOS VIRTUALES PARA MAESTROS CURSOS 2021 cursos 2021 gratis</t>
  </si>
  <si>
    <t>educantabria Santander Cantabria</t>
  </si>
  <si>
    <t>juan vaello master profesorado umh innovacion docente miguel hernandez univarsidad</t>
  </si>
  <si>
    <t>Educativo-Planificación en el Nivel de Educación Inicial</t>
  </si>
  <si>
    <t>Competencias Básicas educantabria V COngreso regional educación Santander Cantabria Daniel Cassany</t>
  </si>
  <si>
    <t>Competencia currículo la escuela Competencias Básicas educantabria</t>
  </si>
  <si>
    <t>javerianacali</t>
  </si>
  <si>
    <t>funglode fundacion global democracia desarrollo fcgd festival cine dominicano leonel fernandez igm iglobal revista editorial republica dominicana santo domingo opd biblioteca juan bosch educacion</t>
  </si>
  <si>
    <t>paulo freire maestros de america latina labma unipe universidad pedagogica</t>
  </si>
  <si>
    <t>Pilar Pozner Educación Docente inclusiva aprendizaje ambientes educativos SEP SEP BCS La Paz Sudcalifornia</t>
  </si>
  <si>
    <t>Teresa Colomer INFD alfabetización literatura infantil</t>
  </si>
  <si>
    <t>Mary Gordon Murray Empatía Roots of empathy Seeds of empathy Raíces de empatía Semillas de empatía Valores Solidaridad Sociedad Habilidades Ashoka Changemakers Agentes de cambio Cambio social Bebés Innovación educativa Alumnos Desarrollo Infancia Emociones Amor Afecto Escuela Aprendizaje Colegios Profesores Padres Hijos Adolescentes Niños Canadá Dalai Lama OMS OCDE Aprendemos Juntos BBVA</t>
  </si>
  <si>
    <t>Daniel Santín Jorge Calero Almudena Sevilla educación brecha digital brecha educativa pandemia Covid-19 formación teleeducación educación a distancia tecnología sociedad</t>
  </si>
  <si>
    <t>comunicación educación escuchar miradas emociones diálogo conversación escuela profesores jóvenes niños padres Aprendemos Juntos Aprendemos Juntos BBVA Aprender Juntos Educación Pedagogía Instituto Escuela Estudiar Aprender Formación empatía David Calle entrevista David Calle unicoos.com somos unicoos cuánto pesan las nubes educación a distancia brecha digital educación online stem Global Teacher Prize</t>
  </si>
  <si>
    <t>educación clases clase inspiradora estrategias metodologia aprendizaje maestra mastros docente docentes</t>
  </si>
  <si>
    <t>Work Curriculum Vitae (Industry) Office Working trabajo emleo empleo recursos humanos curriculum vitae tutorial facil rapido word paint 2015 profesional</t>
  </si>
  <si>
    <t>RE Grupo RE 2055 Dinamica inMotion Servers Dynamics Pavel Lau Jovenes</t>
  </si>
  <si>
    <t>infovirtual infocentro venezuela hardware computer</t>
  </si>
  <si>
    <t>parque explora</t>
  </si>
  <si>
    <t>Viedma Río Negro ENSAMBLE DE CUERDAS CUERDAS FILARMONICA MUSICA ENSAMBLE SUR MUNICIPALIDAD DE VIEDMA</t>
  </si>
  <si>
    <t>Alfabetización TIC Tecnología educativa Virkel Liliana</t>
  </si>
  <si>
    <t>Leer más rápido lizeth Castro Gimnaci Mental</t>
  </si>
  <si>
    <t>como estudiar rapido y bien para un examen como estudiar como estudiar para un examen como estudiar mejor como estudiar para un examen en un dia como estudiar mas rapido como estudiar bien estudiar medicina estudiar derecho estudiar oposiciones como mejorar la memoria como memorizar rapido para un examen como memorizar mas rapido como sacar buenas notas</t>
  </si>
  <si>
    <t>CECC Educación TIC tecnología centroamérica centroamericana estadísticas</t>
  </si>
  <si>
    <t>redacción puntuación ortografía Sandra Uribe Pérez español tips ejemplos reglas</t>
  </si>
  <si>
    <t>docentes Flip Teaching flipped classroom raúl santiago webinar eduland metodologías innovación educativa educación TIC</t>
  </si>
  <si>
    <t>OCCEducación educación estudiar maestría diplomados educación online bienvenida video institucional educación México</t>
  </si>
  <si>
    <t>Tecnología Educación Enseñanza Tutorial</t>
  </si>
  <si>
    <t>significado nombre propio preescolar</t>
  </si>
  <si>
    <t>facebook aula youtube slideshare docente redes sociales</t>
  </si>
  <si>
    <t>RT Actualidad rt computadora futuro Tecnología Tecnología de punta elemento desarrollo dispositivo meteorologico historia de computadoras supercomputadora cray apple occidente titan tflop mgu t platforms rapido velocidad wimdows capacidad green 500 ventilacion cpu cry computer inteligencia rusia ruso usa eeuu computacion dvd tecnologicas electronica japon creative amd intel motherboard ati rt programas laptop nucleo IBM microsoft nvidia moscu universidad Drive asus artificial</t>
  </si>
  <si>
    <t>tecnología TIC desarrollo</t>
  </si>
  <si>
    <t>que es la pedagogía didactikos Qué es la pedagogía definicion de pedagogia que estudia la pedagogía Didactikós pedagogía definición de educación qué es la educación objeto de estudio de la pedagogía</t>
  </si>
  <si>
    <t>Palabra Maestra Fundación Compartir educación Maestros docentes profesores currículo educativo aula estudiantes planeación de la clase ¿Qué es un currículo educativo? Higher Education (Industry) Curriculum (Literature Subject) fundación compartir</t>
  </si>
  <si>
    <t>TIC Metas 2021 Educación Pizarras digitales Clara Goldsmit Constanza Miscione PDI taller docentes para docentes</t>
  </si>
  <si>
    <t>videoleccion introduccion a las Tecnologías de la Información y las Comunicaciones Curso 0 Filología Formación en TIC Facultad de Filología (Universidad Complutense de Madrid) Information And Communications Technology (Literature Subject) Information (Quotation Subject)</t>
  </si>
  <si>
    <t>Glenn Doman Método Filadelfia enseñar a leer cómo enseñar a leer y a escribir lectura temprana método Doman aplicado a la escuela metodología para la enseñanza de la lectura aprender a leer a los 3 aprendizaje de la lectoescritura</t>
  </si>
  <si>
    <t>MOTIVACIÓN INTERÉS ATENCIÓN ALUMNOS</t>
  </si>
  <si>
    <t>Jholachaap doctar Dr. JHOLACHHAP medical desi hakeem Doctar SettingBaaz jholachaap doctar dr. jholachaap morna entertainment Medical clinics Doctor Vs Patients Doctor Comedy</t>
  </si>
  <si>
    <t>celebrity celebtribe entertainment gossip bollywood movies dramas desi tv desi news desi movies desi tv official Nasreen Makeup Nasreen Makeup Tutorial Makeup Tutorial Rahim Pardesi Rahim Pardesi Desi Tv Entertainment Desi Tv Entertainment rahim pardesi best of rahim pardesi nasreen funny nasreen new video rahim 2018 rahim pardesi 2018 rahim pardesi vlog rahim pardesi funny videos funny videos vlog of rahim pardesi nasreen horror show</t>
  </si>
  <si>
    <t>gfgfg</t>
  </si>
  <si>
    <t>avocado avocado couple Pregnancy Prank Pregnancy funny comics Pregnant pregnant pregnancy family funny reaction Pregnant Vegetable family friendly animation avocado channel funny comics about life 24 hours pregnant avocado comics pregnant challenge pregnant for a day parody mom</t>
  </si>
  <si>
    <t>Entertainment Fun chota imran khan ko soudi se geft me kia mela entertainment fun buner 2019 chota imran khan chocolate rain entertainment fun chota imran khan buner chota imran khan speech chota imran khan funny video chota kaptan buner chota imran khan kpk</t>
  </si>
  <si>
    <t>Payet sport Fnan App Infotech Hidmona Tv-ድሞና ቲቪ Erizara Tech mestyat betna payet sport jayo truth</t>
  </si>
  <si>
    <t>Pregnant pregnant pregnancy family funny reacting reaction Pregnant Vegetable Pregnant Vegetable - Cartoons avocado avocado couple family friendly animation avocado couple comics avocado channel funny comics about life 24 hours pregnant xmas avocado comics pregnant challenge pregnant for a day parody mom comedy funny comics</t>
  </si>
  <si>
    <t>Cartoon Funny Cartoon Pencilmation Pencilmation Cartoons Pencil Animation Animation Ross Bollinger Pencilmate Pencil Pencilmation Compilation Cartoon Compilation</t>
  </si>
  <si>
    <t>JYP Entertainment JYP ITZY JYP ITZY ITZY TEASER ITZY MV ITZY(있지) 달라달라(DALLA DALLA) M/V TEASER 있지 잇지 YEJI LIA RYUJIN CHAERYEONG YUNA ITZY YEJI ITZY LIA ITZY RYUJIN ITZY CHAERYEONG ITZY YUNA 예지 리아 류진 채령 유나 있지 뮤비 있지 뮤비 티저 JYP NEW GIRLGROUP DALLADALLA 달라달라 DALLA DALLA 있지 데뷔 있지 티저 달라달라 뮤비 티저 DALLA DALLA M/V TEASER 있지 MV 제왑 걸그룹 MV JYP NEW GIRL GROUP MV DALLA DALLA MV 달라달라 MV ITZY 달라달라 ITZY 달라달라 MV ITZY DALLA DALLA MV</t>
  </si>
  <si>
    <t>Veyilon Entertainment Exam Paper Distribution back to school exam paridhabangal tamil new web series tamil web series 2018 types of interview School Life school exam tamil web series school memories indian web series latest web series top web series new web series tamil pasanga back to school series nakkalites nakkalites latest nakalities nakkalites chemistry period nakkalites exam result nakkalites all episodes veylon veliyon exam bit</t>
  </si>
  <si>
    <t>MEDICAL SHOP CUSTOMERS MEDICAL SHOP CUSTOMERS veyilon Veyilon Entertainment Veyilon Veyilon new videos Veyilon latest videos MEDICAL SHOP MEDICAL SHOP veyilon veliyon MEDICAL CUSTOMERS veyilon entertainment next SHOP CUSTOMERS tamil creators types of customers veyilon entertainment video Veyilon last divo creators medical shop owners maheswaran veyilon tamil comedy mini series</t>
  </si>
  <si>
    <t>Disney logo history entertainment home video classics masterpiece DVD</t>
  </si>
  <si>
    <t>cartoon cartoons animation stick figures funny pencilmation Animated Short Films</t>
  </si>
  <si>
    <t>conway's game of life music musical john conway cell cellular automata computer algorithm grid requiem for dream clint mansell automaton complexity epic golly information technology science math Mathematics robot tessellation homogeneous structures iterative arrays lux aeterna conway's game of life john conway cellular automata cellular automaton game of life conway game of life</t>
  </si>
  <si>
    <t>pangea 3D CG animation movie dinosaur dinosaurs T-Rex rexy fullhd 1080p dinossauros dinosaurios rexy dino dino teen-rex</t>
  </si>
  <si>
    <t>Educacion Virtual OVA</t>
  </si>
  <si>
    <t>Educación Desafíos Perú Cultura Enseñanza Academia Universidad Ulima Universidad de Lima Investigación Educación Mediática Pandemia COVID-19 Coronavirus Futuro Julio César Mateus Comunicación</t>
  </si>
  <si>
    <t>TEDTalk TEDTalks Technology Violence Communication Children Internet Online Video Culture Data Future Humanity Social Change Computers Society Algorithm</t>
  </si>
  <si>
    <t>United States (Country) tedx talk Psychology Colorado State University English tedx TEDxCSU Parents Learning Entertainment USA tedx talks Music ted x Education ted Lifestyle ted talk ted talks</t>
  </si>
  <si>
    <t>Dominoes (Game) Truco para el domino Como ganar en el domino Domino Como jugar domino Domino profesional</t>
  </si>
  <si>
    <t>Programa de Educación a Distancia Agro y ambiente</t>
  </si>
  <si>
    <t>como hacer los deberes mas rapido deberes como hacer las tareas rapido los deberes de los niños cuento los deberes de los niños cuento deberes de los niños cuento las tareas de los niños no quiero hacer los deberes las tareas del cole las tareas del colegio niños educación como hacer los deberes videocuento los deberes cuentos infantiles cuentos infantiles cortos cuento infantil cuento para niños cuento en español cuento en español para niños estudiar</t>
  </si>
  <si>
    <t>como usar canva para presentaciones canva para presentaciones como usar canva para presentaciones 2020 tutorial canva como usar canva canva gratis canva tutorial como usar canva 2019 como utilizar canva crear presentaciones en canva tutorial canva presentaciones como crear presentaciones en canva canva presentaciones presentaciones canva canva 2020 CANVA como hacer una presentacion programas para hacer presentaciones tutorial canva 2020 como usar canva 2020</t>
  </si>
  <si>
    <t>Palabra Maestra Fundación Compartir educación Maestros docentes profesores Exsecretario de educación secretaría de educación de bogotá Oscar Sánchez Al Pizarrón</t>
  </si>
  <si>
    <t>Suichi 骨牌 dominos insane spiral domino chain reaction Pitagora ντόμινο 각설탕 Domino Rally (Brand) entertainment marble run ピタゴラスイッチ domino tricks domino fall domino speedwall domino rally the amazing triple spiral dominoes domino rube goldberg домино hevesh5 domino spiral world record insane domino tricks ドミノ domino wall domino spiral domino world record Dominostein rube goldberg machine</t>
  </si>
  <si>
    <t>domino tricks domino ドミノ 骨牌 effect hevesh5 field familiprix 25000 dominoes j'aime dominoes insane domino tricks topple wall montreal 25000 operation enfant soleil canada dominos chain reaction pyramid rally</t>
  </si>
  <si>
    <t>erisipela tratamento erisipela bolhosa o que é erisipela erisipela tem cura erizipela zipela irisipela erisipelas izipela erisipele erisipela sintomas erisipela causas erisipela remedios caseros para la erisipela remédio para erisipela cura para la erisipela celulitis bacteriana tratamiento celulitis infecciosa en la pierna erisipela en piernas fotos celulitis bacteriana erisipela vs celulitis diferencia entre erisipela y celulitis erisipela que es</t>
  </si>
  <si>
    <t>Negocios Reforma PIB que el pib producto interno bruto explicado que es el producto interno bruto</t>
  </si>
  <si>
    <t>Andres Mendez Consultor Privado fitosanitarios aplicacion pulverizacion robotica robots trazabilidad alimentos tecnologias deteccion control de malezas automatizacion periurbano rippa robot swagbot mapeo frutas poda robotizada ladybird viipa</t>
  </si>
  <si>
    <t>big data develoteca John Mashey macrodatos datos masivos datos de gran escala Datos biométricos lectores biométricos facebook big data linkedin big data que es big data y como funciona que es data science y para que sirve muchos datos big data que es y como funciona el big data en 3 minutos sabes que es el big data que es big data como funciona el big data en las empresas como funciona el big data en el marketing big data en medicina big data que es</t>
  </si>
  <si>
    <t>digital literacy digital ed tech education 21st century 21st century skills technology</t>
  </si>
  <si>
    <t>domino dominoe dominos dominoes Dynamic Domino TheDominoEffect Hevesh5 CCC Entry CCC Contest Entry! (Dynamic Domino &amp; TheDominoEffect) Dynamic Domino &amp; TheDominoEffect domino fun amazing domino train domino train ccc domino chain dominos pizza domino tower domino spiral chain reaction intercate domino chain domino screenlink domino tricks domino techniques domino pyramid rube goldberg machine</t>
  </si>
  <si>
    <t>#LazosSociales #QuedateEnCasa #SaludMental #TiempoDeSolidaridad #NosCuidamosTodos #COVID19Ecuador #RedesDeApoyo</t>
  </si>
  <si>
    <t>tic tecnologia tecnologias de la informacion y las comunicaciones que es tic en colombia que es tics en la educacion que es tic en informatica que son las tic para niños que son las tic ́s que son las tic en colombia que son las tic 2020 que son las tic en la educacion que son las tic colombia digital que son las tic explicado fácil que son las tic en la sociedad que son las tic en la casa que son las tic historia definicion de las tic tic en 2021 ict ia tech tics</t>
  </si>
  <si>
    <t>10000 iPhone 5 Domino TenThousandiPhone5 iPhone 5 iPhone 5 Concept Features iPhone Domino iPhone 5 Features iPhone 5 Dominoes iPhone 5 Domino iPhone 5 Dominos Domino Dominoes Fall Like Dominoes iPhone 5 Commercial iPhone 5 Video iPhone 5 NFC Real Fake Aatma Aatma Studio Aatma Studio iPhone 5 iPhone 5S 10000 iPhone 5</t>
  </si>
  <si>
    <t>Mujeres Chile Género Mujeres de Chile Sernam SernamEG Mujer y trabajo Violencia contra las mujeres Violencia Día de la mujer</t>
  </si>
  <si>
    <t>inacap canal inacap universidad chile profesionales ip cft centro de formación técnica instituto profesional</t>
  </si>
  <si>
    <t>insane domino tricks card domino triple wallback domino 20000 dominoes hevesh5 millionendollarboy dominos domino tricks dominoes domino insane domino hevesh5 domino domino pyramid hevesh5</t>
  </si>
  <si>
    <t>video youtube citar video video youtube normas apa séptima edición 7 edición APA proyecto tesis tesina monografía investigación</t>
  </si>
  <si>
    <t>#lengua #lengua 2º de ESO #ESO #Comunicación #LENGUA ORAL Y LENGUA ESCRITA</t>
  </si>
  <si>
    <t>julio melgar unidos con julio melgar</t>
  </si>
  <si>
    <t>historiaencomentarios las etapas de la revolución francesa Revolución Francesa Documental Revolución Francesa Revolución Francesa Documental Maria Antonieta Versalles revolucion francesa para ñiños revolucion francesa en 3 minutos Flipped Learning Absolutismo Napoleón Toma de la Bastilla Juramento del Juego de la Pelota https://www.youtube.com/watch?v=ttdq818TGD0 https://www.youtube.com/watch?v=WYZPKfORXXk Etapas de la Revolución robespierre francia historia luis xvi</t>
  </si>
  <si>
    <t>oratoria isabel perozo actriz venezolana entrevista como entrevistar entrevistador</t>
  </si>
  <si>
    <t>Fundación Telefónica Educación Liderazgo TIC Escuela Aula</t>
  </si>
  <si>
    <t>Ingeniero ingenieria industrial labor ingenierio industrial CEPAL Tecnologico de Monterrey Industrial Engineering Industry</t>
  </si>
  <si>
    <t>comunidad virtual cv</t>
  </si>
  <si>
    <t>redes internet tecnología innovación escuela aprendizaje niños redes sociales RRSS</t>
  </si>
  <si>
    <t>Educlic TICS en la educación Aprendizaje</t>
  </si>
  <si>
    <t>Technology (Industry) Information Technology (Industry) comunicacion technology internet of things</t>
  </si>
  <si>
    <t>empleo el futuro del empleo como conserguir empleo carreras del futuro</t>
  </si>
  <si>
    <t>marketing psicología tecnología adicción smartphone tablets videojuegos email whatsapp comunicación nuevas relaciones cerebro comportamiento comportamiento adictivo enganchados conectados online dispositivos monitorizar trackear tiempo de uso tiempo conectados Aprendemos Juntos Aprendemos Juntos BBVA #AprendemosJuntos Aprender Juntos Educación Pedagogía Instituto Colegio Escuela Profesor Estudiar Aprender Enseñanza Mar Masip Marc Masip Desconect@ dieta digital</t>
  </si>
  <si>
    <t>TEDxTalks Spanish Education Education reform Technology</t>
  </si>
  <si>
    <t>Emprendimiento emprendedores pymes mypes fundación romero grupo romero portal pqs para quitarse el sombrero jóvenes emprendedores historia del grupo romero dionisio romero sombreros piuranos historia del bcp banco de credito del peru dionisio romero paoletti don calixto romero calixto romero</t>
  </si>
  <si>
    <t>Maz México Turismo Edith Gonzalez Mi viaje perfecto Soy Veracruz Tajin Promotion Daniel Gruener MazMexico345 Campañas Turísticas Mexico Tourism Vacations Turismo México Tourism Campaigns Vacaciones Playa Arena Best Tourism Campaigns Best Travel Videos Viajes Travel Journey Tourism Diversión Leisure Beach Sand Culture Adventure Destination Edith González (TV Actor) Nature Mexico (Country)</t>
  </si>
  <si>
    <t>educación Educación 2030 Objetivos de Desarrollo Sostenible</t>
  </si>
  <si>
    <t>UBB UBBTV CIENCIA TECNOLOGÍA CULTURA CHILE CHILLAN CONCEPCIÓN INVESTIGACIÓN UNIVERSIDAD</t>
  </si>
  <si>
    <t>QCPTV Tourism Corporate Videos Tourist Guide Business Guide Kuwait Airways (Airline) Kuwait (Country) Kuwait City (City/Town/Village) Kuwait Towers (Tourist Attraction) kuwait tourism Kuwait Telecommunications Tower (Tower) Kuwait International Airport (Airport) Kuwait National Cinema Company (Business Operation) Kuwait Zoo (Tourist Attraction) Kuwait University (College/University) Kuwait Petroleum Corporation (Business Operation) الفيديو الكويت</t>
  </si>
  <si>
    <t>transformacion digital transformacion digital empresas empresa juan merodio</t>
  </si>
  <si>
    <t>valores educación sej avasej ambientes virtuales</t>
  </si>
  <si>
    <t>Azteca Telenovela Azteca Novelas El Trece Contigo México A cada quien su santo Santo A cada quien Capítulo A cada quien su santo A cada quien su santo capitulo El milagro de San Honorato Fe Envidia Egoismo</t>
  </si>
  <si>
    <t>bibliografía referencias normas APA normas APA estilo APA séptima edición séptima edición 7ma word ejemplo cómo hacer redactar</t>
  </si>
  <si>
    <t>como optimizar acelerar mi tu pc computadora con windows 10 al maximo facil sencillo rapido gratis sin programas 2020 2019 limpiar laptop sin programas para windows 10 8 y 7 tutorial video videotutorial HD fast 2021 2022 2023 OPTIMIZAR Y ACELERAR PC con Windows 10 al Máximo sin programas Cómo LIMPIAR OPTIMIZAR Y ACELERAR mi PC SIN PROGRAMAS para Windows 10 8 y 7 Parte 1| 2020 COMO OPTIMIZAR Y ACELERAR WINDOWS 10 AL MÁXIMO owicron nj tutoriales</t>
  </si>
  <si>
    <t>Las ecuaciones del amor THE LOVE EQUATIONS Liu Ren Yu Simon Gong Li Ge Yang Julio Wan Yan An Yong Chang drama chino sub español ESP SUB Episodio 03 WETV ESPAÑOL WeTv Spanish</t>
  </si>
  <si>
    <t>aprender a leer aprendiendo a leer las primeras letras enseñar las letras enseñar a leer el niño que quiere leer</t>
  </si>
  <si>
    <t>word hardware software alfabetizacion virtual digital aula clase laptop windows ubuntum procesadores de textos editor de presentacion</t>
  </si>
  <si>
    <t>Universidad César Vallejo Vallejo UCV UCV Perú Videos UCV Educación Salir Adelante Universidades del Perú</t>
  </si>
  <si>
    <t>JFK JFK Cooperativa Financiera El Valor de hacerlo juntos Sector solidario</t>
  </si>
  <si>
    <t>Como Hacer Ensayo Word Ensayo Word Como hacer Ensayo Hacer ensayo crear ensayo elaborar ensayo realizar ensayo ensayo paso a paso tutorial tutorial ensayo 2017 word 2016 word 2013 word 2017</t>
  </si>
  <si>
    <t>JFK JFK Cooperativa Financiera El valor de hacerlo juntos Sector solidario Vida Cooperativa</t>
  </si>
  <si>
    <t>lectoescritura aula lectura salón de clases escritura creatividad tips consejos estrategias estrategia reto problema colegio estudiantes niños soluciones características tipos alumnos tratar innovación educación pedagogía feliz Amco trabajo enseñanza clase tutorial aprendizaje significativo animación.</t>
  </si>
  <si>
    <t>Educación Colombia Ministerio de Educación Calidad educativa Maestros Microlección Platos Didácticos para Lenguaje Micreolección Todos a Aprender Platos Didácticos para Lenguaje</t>
  </si>
  <si>
    <t>Canal Once Canal 11 CanalOnce Canal11 Once TV OnceTV OnceTV México Once TV México Once TVMéxico Once El Once Diálogos Fin de Semana Vida Digital Ciudadanía digital Canal 11 digital canal 11 rocio brauer Canal 11 Rocio Brawer Canal 11 vida digital Canal once digital Diálogos digital Diálogos sabados Dialogos tecnología Diálogos vida digital Fin de semana digital Rocio Brauer canal once Rocío Brauer Sabado digital</t>
  </si>
  <si>
    <t>clase dinámica consejos pedagogía niños enseñanza tutorial experto educación actividades educativas aprendizaje escuela colegio Inteligencia Emocional Amco Inglés Competencia Experiencia Diversión Niños estudiantes alumnos maestros profesores docentes colegios escuelas centros educativos metodología innovación autoconfianza autoestima</t>
  </si>
  <si>
    <t>competencias digitales digcompedu innovación educativa educacion digital</t>
  </si>
  <si>
    <t>JFK JFK Cooperativa Financiera El valor de hacerlo juntos Sector solidario</t>
  </si>
  <si>
    <t>Literacidad Digital Universidad Veracruzana AFBG Área de Formación Básica General Curso</t>
  </si>
  <si>
    <t>sonay camana sonay characta characta camana el arrozal el arrozal camana río camana petroglifos toro muerto corire pueblo fantasma camana camarones en el rio camana verano camana el arrozal sonay</t>
  </si>
  <si>
    <t>acompañamiento pedagógico acompañamiento PELA Como acompañar docente acompañante como se hace el acompañamiento acompañar en aula. monitoreo acompañamiento</t>
  </si>
  <si>
    <t>realidad aumentada RA realidad virtual 2019 2020 tecnologias futuro innovación</t>
  </si>
  <si>
    <t>grupo geard grupo geard colombia ECDF curso para Evaluación con carácter diafnñistico formativa Preparación para Evaluación con carácter diafnñistico formativa testimonio Evaluación con carácter diafnñistico formativa como grabar el video en Evaluación con carácter diafnñistico formativa docentes 1278 ascenso y reubicación salarial 1278 ECDF colombia Evaluación docente colombia video clase para ascender como grabar la clase docentes 1278</t>
  </si>
  <si>
    <t>Socioformación cife desarrollo de competencias ted maestria sergio tobon proyectos formativos</t>
  </si>
  <si>
    <t>exelearning curso tutorial objeto de aprendizaje OVA</t>
  </si>
  <si>
    <t>Bibliotecas universitarias Alfabetización informacional Sociedad digital Web 2.0 Ética digital Manuel Area Consorcio de Universidades (Perú)</t>
  </si>
  <si>
    <t>digital literacy diglit digcomp digital competency information literacy NMCBTH Horizon</t>
  </si>
  <si>
    <t>comercio electrónico que es el comercio electronico definicion de comercio electronico negocio electronico desventajas del comercio electronico ventajas del comercio electronico ventajas y desventajas del comercio electronico como hacer comercio electronico ventajas de un negocio electronico desvenjas de un negocio electronico comercio electronico 2019 negocio electronico y comercio electronico comercio electronico ventajas y desventajas</t>
  </si>
  <si>
    <t>brecha digital exclusión social inclusión digital tic trabajo social</t>
  </si>
  <si>
    <t>Brecha Digital Tecnología Educativa</t>
  </si>
  <si>
    <t>curso de computacion curso para principiantes curso de pc basico como usar una computadora clases de computacion para adultos curso de computacion para adultos curso PC curso computadora como familiarizarce con una computadora maestros de computacion</t>
  </si>
  <si>
    <t>fpeuskadi tknika ethazi digcomp competencia digital digitales</t>
  </si>
  <si>
    <t>Fernando Trujillo Guetxolinguae Leer.es lectura nuevas alfabetizaciones webcast formación del profesorado Ministerio de Educación</t>
  </si>
  <si>
    <t>TEDxTalks Spanish Technology Education Internet Social Media</t>
  </si>
  <si>
    <t>TEDxTalks Spanish Humanities Big Data Crime Data Human Rights Law</t>
  </si>
  <si>
    <t>ADN 40 ADN Opinión TV TV Azteca</t>
  </si>
  <si>
    <t>Cuento Audiocuento</t>
  </si>
  <si>
    <t>Tipos de mapas mapas mapa físico mapa político tipos de mapas geografia tipos de mapas para niños cuales son los tipos de mapas</t>
  </si>
  <si>
    <t>educación oraciones escritura niños primero basico como escribir oraciones para niños</t>
  </si>
  <si>
    <t>Educación Afiche Cómo hacer un afiche Qué es un afiche Elementos afiche característica afiche</t>
  </si>
  <si>
    <t>crucigrama como jugar un crucigrama educacion niños</t>
  </si>
  <si>
    <t>Educación Geografía Paisajes Cultural Natural Paisaje natural y culutral</t>
  </si>
  <si>
    <t>web 2012 herramientas 2.0 instituto san bartolomé</t>
  </si>
  <si>
    <t>marketing digital que es marketing digital medios digitales que son los medios digitales marketing tutorial de marketing</t>
  </si>
  <si>
    <t>fundaciontelefonica telefonica innovacion tecnologia educacion robotica exposiciones voluntariado tech innovation conferencias niños educativa actividades toys recursos educativos programacion argentina tic tecnologias informacion comunicacion voluntarios solidaridad docentes buenos aires capacitacion gratuitas en tics docente distancia online aula</t>
  </si>
  <si>
    <t>MOOC Redes sociales URJCx Marketing digital</t>
  </si>
  <si>
    <t>word Basico Word Principiantes</t>
  </si>
  <si>
    <t>TFG magisterio escuni consejos defensa</t>
  </si>
  <si>
    <t>Stephen Hawking (Academic) Lama Nachman Intel Labs hawking vodafone vodafone one vodafoneone #vodafoneone el futuro es one elfuturoesone #elfuturoesone El País (Newspaper) ACAT</t>
  </si>
  <si>
    <t>invertir mejor emprendedores dinero negocios ganar dinero educacion financiera emprender ingresos juan diego gomez tutorial Como crear activos sin dinero riqueza ganar dinero por internet como invertir como ganar dinero ingresos pasivos finanzas empresas activos invertir mejor juan diego gomez invertir marketing extra negocio franquicias banco personal kiyosaki libertad financiera inteligencia financiera como crear nuevas inversiones como aprender a invertir</t>
  </si>
  <si>
    <t>español alfabeto Abecedario leer escribir kinder primero lectura cartilla metodo</t>
  </si>
  <si>
    <t>MACROECONOMIA ECONOMIA CUENTAS NACIONALES CICLO ECONOMICO PIB PRODUCTO BRUTO INTERNO PRODUCTO INTERNO BRUTO economia argentina que es macroeconomia la microeconomía la microeconomía y la macroeconomía economia que es factores de produccion y agentes economicos</t>
  </si>
  <si>
    <t>como imprimir en 3d impresion 3d continua aprendiendo continúa aprendiendo imprimir en 3d imprimir en 3D desde cero imprimir en 3d desde 0 impresion 3d primeros pasos aprender a imprimir en 3d aprende 3d impresión 3d aprendiendo imprimir con cura impreson 3d impresion 3d facil impresión 3d fácil impresion imprimir pasos para imprimir en 3d</t>
  </si>
  <si>
    <t>dinámicas de presentación juegos de presentación</t>
  </si>
  <si>
    <t>arizona state university asu universities in arizona arizona phoenix tempe university Arizona EDU Education Educational Study Hall data literacy problem solving media media lit ASU Arizona State University Ed Plus Crash Course Complexly Online Education Online EDU free education college education jessica pucci</t>
  </si>
  <si>
    <t>diferencias entre la realidad virtual y la realidad aumentada diferencias realidad virtual y realidad aumentada deferencias realidad virtual y aumentada que es la realidad virtual y realidad aumentada que es realidad virtual que es realidad aumentada que es virtual reality que es augmented reality realidad virtual realidad aumentada realidad virtual aumentada y mixta realidad mixta relacion entre realidad virtual y realidad aumentada realidad virtual aumentada</t>
  </si>
  <si>
    <t>curso computacion basico curso de computacion computador curso de computacion basica computer course curso completo de computacion basica curso de informática computacion basica para adultos computacion desde cero curso basico de computacion curso de computacion gratis computacion computacion avanzada tutorial de computacion</t>
  </si>
  <si>
    <t>Negocios Empresas Colaboración Marketing Entreprenuer</t>
  </si>
  <si>
    <t>platzi transformación digital cuarta revolucion industrial revolución industrial metodologías agiles netflix bluckbuster toyota walmart desarrollo modelo de negocio business model andi</t>
  </si>
  <si>
    <t>machine leaning en español introducción a machine learning curso de introducción a machine learning curso de machine learning inteligencia artficial curso de inteligencia artificial aprendizaje automático curso de aprendizaje automático historia de machine learning historia de aprendizaje automático historia de inteligencia artificial ligdi gonzales machine learning español python machine learning español curso machine learning español tutorial</t>
  </si>
  <si>
    <t>Canva Canva Pro</t>
  </si>
  <si>
    <t>Alfabetización Digital Sociedad de la información</t>
  </si>
  <si>
    <t>crear animaciones crear videos animados crear animaciones online programas para hacer animaciones hacer videos animados</t>
  </si>
  <si>
    <t>gabak gabaktech pc computadora armado teoria practica como armar computador ordenador</t>
  </si>
  <si>
    <t>bauman zygmunt bauman modernidad liquida filosofia sociologia</t>
  </si>
  <si>
    <t>moodle para la clase presencial moodle moodle crear curso crear un curso en moodle paso a paso como crear y configurar un curso en moodle crear un curso en moodle como crear cursos en moodle aula virtual moodle cómo crear un curso en moodle administrador de moodle curso para administrar moodle curso gratis de moodle aprende a usar moodle aula virtual cursos online plataformas para cursos online como hacer cursos online Como crear cursos virtuales</t>
  </si>
  <si>
    <t>páginas web normas apa 7° edición estilo apa citar páginas web proyecto tesis tesina monografía investigación</t>
  </si>
  <si>
    <t>Instituto Nacional para la Evaluación de la Educación educación equidad justicia social México televisión pensar INEE</t>
  </si>
  <si>
    <t>educar para el ser educar desde el ser educación escuela familia maestra docente profesor Gobernación de Mérida @EducaMerida dirección de educación dirección estadal de educación Jorge Carvajal Calleja 2020 UNESCO Quito crisis</t>
  </si>
  <si>
    <t>jordi adell educación nuevas tecnologías PLEs Entornos personales de aprendizaje Universidad de La Rioja Jóvenes y redes sociales Redes sociales Orientación educativa aprender en la red aprendizaje y tecnología tecnologías para el aprendizaje entornos personales de aprendizaje innovación educativa Learning (Quotation Subject) personal learning environments social media</t>
  </si>
  <si>
    <t>ucovirtualidad uco didactica hernan javier martinez</t>
  </si>
  <si>
    <t>Psicopedagogia Examen Docente Evaluación Docente Pedagogía Aprendizajes Competencias Evaluacion Educación Preguntas del examen</t>
  </si>
  <si>
    <t>fundacion superacion de la pobreza servicio pais servicio pais chile fundacion para la superacion de la pobreza fundacion superacion de la pobreza chile chile fundaciones chile fundacion chile ong chile pueblos chile turismo chile no nos dejes en visto regiones chile region metropolitana chile agricultura chile la copia feliz del eden historia de la riqueza historia de la riquiza en chile educacion en chile</t>
  </si>
  <si>
    <t>aprendizaje ubicuo ubicuo aprender con tecnologias aprender con tic</t>
  </si>
  <si>
    <t>cursos gratis Educación emocional para tus hijos con Alejandra Huerta Educación emocional para tus hijos Alejandra Huerta biialab biia lab Educación emocional educacion para tus hijos tus hijos con Alejandra Huerta Educacion para tus hijos</t>
  </si>
  <si>
    <t>Jesús G. Maestro Editorial Academia del Hispanismo Teoría de la Literatura Crítica literaria Crítica de la Razón Literaria Materialismo Filosófico Gustavo Bueno Literatura Ricardo Moreno Castillo Pedagogía Pedagogo Educación Plan Bolonia La conjura de los ignorantes LOGSE ESO LOMCE Informe PISA Educación en Finlandia</t>
  </si>
  <si>
    <t>TIC IBERTIC Lengua Literaura Educ.ar Metas 2021 Educación</t>
  </si>
  <si>
    <t>humberto gutiérrez consejos imagen tips imagen pública elegancia moda estilo tendencia presencia peinados outfits vestimenta guapo protocolo etiqueta comunicación cortesía negocios actitud autoestima seguridad bienestar tesis examen profesional profesional titularme nervios quitar nervios</t>
  </si>
  <si>
    <t>ull university of la laguna education school digital school digital identity project based learning PBL MOOC MOOC Escuela Digital: Tendencias educativas con TIC collaborative work students learning social media social network ICTs ICT educational app mobile learning computational thinking PLE personal learning environment flipped classroom ABP clase invertida</t>
  </si>
  <si>
    <t>Evaluación Evaluación formativa Evaluación de los aprendizajes Enfoque formativo</t>
  </si>
  <si>
    <t>pink panther cartoon pink panther theme pink panther music footsore journey horse saddled beast scheme Inspector Clouseau animation classic cartoon pink panther MGM Metro-Goldwyn-Mayer 50th anniversary kids funny comedy family travel chase</t>
  </si>
  <si>
    <t>plenitud abundancia felicidad amor crecimiento personal desarrollo personal crecimiento espiritual espiritualidad covadonga perez lozana borja vilaseca enric corbera pilar sordo enrique delgadillo sadhguru en español patricia fernandez ramon torres bernardo stamateas florencia defiss sergi torres rafael santandreu ricardo ponce daniel habif como encontrar pareja la pareja perfecta la persona correcta psicologa maria elena badillo</t>
  </si>
  <si>
    <t>docencia digital modelo de enseñanza TIC tecnología educativa docencia universitaria digital teaching teaching model educational technology ICT university teaching</t>
  </si>
  <si>
    <t>pink panther cartoon pink panther theme pink panther music texas cattle ranch tombstone gunslingers Inspector Clouseau animation classic cartoon pink panther MGM Metro-Goldwyn-Mayer 50th anniversary kids funny comedy family weatern sheep cowboy</t>
  </si>
  <si>
    <t>Gonzalo Álvarez educación formación online elearning desarrollo profesional carrera profesional Era Digital transformación digital LIDlearning competencias digitales máster empresas diseño diapositivas impacto el arte de preentar PowerPoint fluencia cognitiva mensaje título diagrama gráfico patrón universal</t>
  </si>
  <si>
    <t>diseño web desarrollo web</t>
  </si>
  <si>
    <t>adolescencia Adolescentes Alberto Soler aprendizaje co-paternidad celos corresponsabilidad crianza educación etiquetas familia infancia maternidad niños obediencia parentalidad relación padres e hijos responsabilidades</t>
  </si>
  <si>
    <t>Nativos digitales inmigrantes digitales dussel zelmanovich ana lópez Daniela Gutiérrez educación y TIC</t>
  </si>
  <si>
    <t>ted x tedx talk ted talk TEDx Technology (Professional Field) ted tedx talks Linguistics (Field Of Study) Guadalajara (City/Town/Village) tedx Mexico (Country) ted talks Spanish Language (Human Language) TEDxGuadalajara</t>
  </si>
  <si>
    <t>educación Internet Riesgos Internet riesgos web</t>
  </si>
  <si>
    <t>Toccata and Fugue in Minor bach j.s. best version church pipe organ stops DWSmarter</t>
  </si>
  <si>
    <t>educatina emprendedores emprendedurismo emprendedurismo para jovenes emprendedurismo empresarial emprendimiento transformacion digital transformacion digital que es mercados digitales competitividad competitividad empresarial crear valor creacion de valor mejora de procesos digitalizacion</t>
  </si>
  <si>
    <t>jurgen klaric un crimen un crimen llamado educación educación la educación prohibida jurgen klaric documental educación problema escuela educación en méxico educación para niños educación financiera un crimen llamado educacion educacion crimen llamado educacion un crimen llamado educacion documental jurgen klaric un crimen llamado educacion el crimen de la educacion jurgen klaric educacion un crimen llamado educación jurgen klaric curso gratis</t>
  </si>
  <si>
    <t>Investigación Doctorado Universidad Máster Tesis ebaes</t>
  </si>
  <si>
    <t>Documentary (TV Genre) alfabetizacion maestros educación</t>
  </si>
  <si>
    <t>comunicación educación escuchar miradas emociones diálogo conversación escuela profesores jóvenes niños padres Aprendemos Juntos Aprendemos Juntos BBVA Aprender Juntos Educación Pedagogía Instituto Escuela Estudiar Aprender Formación empatía Eduardo Infante entrevista Eduardo Infante filoretos Filosofía en la calle profesor de filosofía Eduardo Infante</t>
  </si>
  <si>
    <t>Fuck fuck it lucky pet jon dornaletetxe max jensen music guitar author song songwritting folk acoustic spanish guitar singer</t>
  </si>
  <si>
    <t>educación formación idiomas aprende idiomas profesores</t>
  </si>
  <si>
    <t>Vídeos TV educacciontv España Educación Formación Vídeos didácticos Canal Sur Televisión Archivo Canal Sur Canal Sur (Production Company) Andalucía (Región/City/Town/Village) Andalusia (City/Town/Village) Spain (Country) CSTV Nuevas tecnologías de la información Brecha digital Cambios tecnológicos Guadalinfo</t>
  </si>
  <si>
    <t>que es internet cómo funciona internet para que sirve internet internet gratis que significa internet definición de internet todo sobre internet que es internet de fibra óptica que es internet dedicado que es internet residencial que es internet satelital que es internet banking que es internet banda ancha internet Internet red de redes internet de todos internet de las cosas internet 99 internet 5g que es michely Lopez internet como funciona</t>
  </si>
  <si>
    <t>bioneuroemoción enric corbera institute enric corbera biodescodificación BNE enric corbera 2019 aceptar a los padres padres hijos relaciones interpersonales relaciones personales eci enric corbera video relaciones familiares familia entorno emociones bienestar emocional ambiente emocional educación autoridad madre padre rol paterno rol materno enric corbera institute 2019 educacion hijos consejos para padres</t>
  </si>
  <si>
    <t>trucos increibles instagram trucos instagram trucos de ig stories ig stories Hacks de ig hacks de instagram hacks de instagramm instagram stories instagram stories 2019 trucos 2019 hacks 2019</t>
  </si>
  <si>
    <t>TAN DULCE RECETAS CHOCOLATE GALLETAS COOKIES MASITAS MASAS GALLETITAS COMO HACER COMO SE HACE CHISPAS CHOCO CHIPS CHOCOLATE CHIP FACIL RAPIDO DOMINGO</t>
  </si>
  <si>
    <t>emprendimiento empleo formación orientación trabajo españa #hangoutsonair Hangouts On Air #hoa</t>
  </si>
  <si>
    <t>InfoJobs Community Manager Redes Sociales Nilton Navarro Marca Personal Social Media Felicidad lanzaderas de empleo 5 años lanzaderas de empleo ponencia de nilton navarro social media manager de infojobs habilidades mas demandas por las empresas v aniversario lanzaderas de empleo como encontrar trabajo habilidades profesionales que debes tener que son las competencias digitales que son las softskills webinar de nilton con lanzaderas</t>
  </si>
  <si>
    <t>#BiotransformaciónDeAguasResiduales #QuímicaAmbiental</t>
  </si>
  <si>
    <t>historia de la computación historia lenguajes de programación lenguajes de programación alan turing ada lovelace electrónica computadora aprender a programar historia de la programación circuito electrónico computación básica que es una computadora historia de la ciencia de la computación animación historia computación commit that line historia de la computación animada historia de la computación y la informática historia de la computación linea del tiempo</t>
  </si>
  <si>
    <t>como crear mapa mental word como crear mapa mental en word mapa mental en word word mapa mental</t>
  </si>
  <si>
    <t>mi portafolio y yo trucos para vender por redes sociales trucos ventas redes sociales como vender por facebook marketplace como vender por instagram marketing en redes sociales como vender mas ropa por internet como vender mas por redes sociales como vender mas por facebook tips de marketing en redes sociales tips de marketing para vender mas dinero tips de marketing digital tips de marketing en instagram marketing en instagram trucos para vender mas en instagram</t>
  </si>
  <si>
    <t>ticmas educacion mutacion mutaciones mutaciones adn que son las mutaciones que causa una mutacion tipos de mutaciones duplicación ADN biologia evolucion seleccion natural explicacion facil variaciones heredables variaciones heredables y no heredables genotipos diversidad de genotipos quimicos y mutaciones diversidad biologica adn genética que es una mutacion resumen somos mutantes fenotipo daños adn mutaciones humanas variabilidad leticia smal leti smal smal</t>
  </si>
  <si>
    <t>ticmas educacion platafoma educativa escuela secundaria chocolate cacao historia chocolate chocolatada polvo de cacao manteca de cacao prensa de cacao mayas aztecas hernan cortes cortes reyes de españa corte española corte francesa bebida sagrada conquistadores de america nestle lindt chocolate con leche chocolate belga chocolate suizo chocolate amargo comercio internacional</t>
  </si>
  <si>
    <t>TV LCD LED PLASMA</t>
  </si>
  <si>
    <t>Constitución Perú Regulación</t>
  </si>
  <si>
    <t>Julio Cabero Almenara parte 1</t>
  </si>
  <si>
    <t>Tutorial español saber programas saberprogramas gráficos excel crear gráficos diagrama de sectores gráfico circular barras horizontales columna agrupada gráfico combinado gráficos de líneas gráficos radiales tutorial excel español tipos de gráficos excel excel types graphics types of charts elige tipo gráfico excel www.saberprogramas.com</t>
  </si>
  <si>
    <t>Meet meet Google Meet google meet meet de google compartir pantalla compartir pantalla en meet presentar pantalla en meet ver a los participantes en meet ver a los estudiantes en meet presentar y ver a los estudiantes presentar y ver a los participantes presentar y ver a los alumnos presentar y ver el chat presentar diapositiva en meet compartir diapositiva en meet compartir presentacion en meet compartir power point en meet compartir power en meer</t>
  </si>
  <si>
    <t>cambio climático clima canada temperatura más alta record de temperatura dioxido de carbono CO2 contaminación ecología energía renovable combustible fósil efecto invernadero gases contaminantes atmosfera glaciares polos smog sequías tormentas nieve ola de calor Sahara inundacion temperatura anual energias renovables voicot jovenes por el clima ticmas educacion</t>
  </si>
  <si>
    <t>Almacenamiento en la nube – Ventajas de guardar datos en Cloud Almacenamiento en la nube Ventajas de guardar datos en Cloud datos en Cloud opciones de cloud gratuitas googledrive onedrive dropbox dropbox de dell acceso a archivos desde web datos en la nube como usar cloud ventajas de usar el almacenamiento en la nube guardar fotos en la nube fotos en la nube de forma ilimitada guardar datos en la nube</t>
  </si>
  <si>
    <t>Telegram bots uso de bots chatbox como descargar telegram aplicacion android ios dispositivo movil aplicacion de mensajeria instantanea whatsapp descargar enseñar clase clase gratis gcfaprendelibre gcfglobal</t>
  </si>
  <si>
    <t>como crear un grupo de difusión en whatsapp grupo de difusion grupo de difusion whatsapp como crear grupo whatsapp lista de difusión cómo crear un grupo de whatsapp lista de difusión whatsapp como hacer una difusion en whatsapp como crear una lista de difusion en whatsapp lista mi movil Samsung crear Galaxy whatsapp 2017 android configurar mensajes masivos de difusión crear lista lista de difusion whatsapp nueva difusion whatsapp mensajes masivos mensajes whatsapp</t>
  </si>
  <si>
    <t>musica relajante anti estres musica zen relajante zen music calmar la mente musica de relajacion musica para relajarse musica relajante para dormir musica relajante musica para reducir la ansiedad musica para la ansiedad musica para dormir musica de meditacion musica para dejar de pensar musica antiestres y ansiedad musica para meditar musica relajante dormir soul relajante musica para el dolor de cabeza música de relajación musica para calmar la ansiedad</t>
  </si>
  <si>
    <t>ticmas educacion platafoma educativa escuela secundaria globalizacion globalizacion economica globalizacion cultural globalizacion politica globalizacion ventajas y desventajas globalizacion cultural e identidad globalizacion cultural ventajas y desventajas produccion global paises centrales y perifericos paises desarrollados y subdesarrollados fases de la globalizacion resumen globalizacion industrializacion avances teconologicos tecnologia tecnologia del futuro</t>
  </si>
  <si>
    <t>Internet HTML HTTP World Wide Web ARPANET Servidor</t>
  </si>
  <si>
    <t>Educación Portafolio digital Google Drive informática Aprendo en casa MINEDU Primaria Computación Administración AIP CRT</t>
  </si>
  <si>
    <t>UAB Universitat Autònoma de Barcelona COVID-19 SARS-CoV-2 educació Eines digitals Alejandra Bosco educación Herramientas digitales</t>
  </si>
  <si>
    <t>ciervos ciervos nara ciervos de nara nara japon salvando ciervos japon datos de japon datos de ciervos</t>
  </si>
  <si>
    <t>universiad tutorial clase online casa educacion aprender telegram</t>
  </si>
  <si>
    <t>futuro educacion educacion digital juan merodio tekdi educación tedxtalks formacion online educacion online</t>
  </si>
  <si>
    <t>negocios tv negocios economía finanzas deuda pública inflación ayudas europeas economía españa banca estados unidos reino unido china</t>
  </si>
  <si>
    <t>gmail google meets google</t>
  </si>
  <si>
    <t>Moodle Moodle en español LMS Sistemas administrativos de educación Cómo crear una página web educativa Cómo crear un sitio web educativo cómo hacer un LMS en Wordpress LMS Wordpress LMS Wordpress en español Tutorial de Moodle Wordpress tutorial de Moodle para administradores LMS Moodle LMS sistema de administración educativo Cómo hacer una página LMS con Wordpress Cómo hacer cursos online con Wordpress Tutorial de Wordpress cómo crear una página web de cursos</t>
  </si>
  <si>
    <t>Wondershare Filmora</t>
  </si>
  <si>
    <t>Competencia digital #CDigital_INTEF Formación del profesorado INTEF MOOC</t>
  </si>
  <si>
    <t>currículum chile educación educación media Educación Ciudadana</t>
  </si>
  <si>
    <t>Palabra Maestra Fundación Compartir educación Maestros docentes profesores comptencias del siglo XXI</t>
  </si>
  <si>
    <t>educación innovación educativa eva teba sistema educativo escuela aprendizaje desafíos de la educación educación en españa política educativa retos de la educación reflexión sobre educación colegios docentes profesores currículo escolar metodologías metodologías educativas</t>
  </si>
  <si>
    <t>universidades en china como estudiar en china estudiar en china universidad china estudiar en estados unidos educacion china becas china como conseguir una beca china</t>
  </si>
  <si>
    <t>Grupos Habilidades sociales Dinamización grupal Victoria Kent</t>
  </si>
  <si>
    <t>calificaciones asistencias tutoria mineduc</t>
  </si>
  <si>
    <t>Educación Aprendizaje Ciencia Sprouts Piaget Teoría del desarrollo cognitivo Cognición Sensoriomotriz Preoperacional Operaciones concretas Operaciones formales psicología teorías psicológicas education psychology</t>
  </si>
  <si>
    <t>e learning b learning m learning s learning tipos de aprendizaje tipos de enseñanza ambientes virtual aprender aprendizaje enseñanza modalidad paradigma teoria ambientes virtuales de aprendizaje modalidades de enseñanza modalidades escolares en line online presencial semi presencial tipos de educacion estilos de educacion tipos de escuelas educacion pandemia tics tecnologias de la informacion y comunicacion educacion pedagogia importancia tecnologia actualidad sep</t>
  </si>
  <si>
    <t>10 más top10 Los 10 braintime brain time brain time los 10 top 10 top 5 los del mundo el mundo increiblemente increible datos interesantes sólo en china en china 9 tecnologías china tecnologías que te sorprendern que te sorprendern sorprendern economía muy desarrollada grandes tecnologías inventos locos las tecnologías más locas</t>
  </si>
  <si>
    <t>autoestima silviacongost victorkuppers exito motivacion charlasmotivacionales charlasinspiradoras walterriso covadongaperezlozana patriciaramirez actitud psicologia mente exitopersonal mejoratuautoestima crecimientopersonal desarrollopersonal charlasdemotivacionpersonal</t>
  </si>
  <si>
    <t>temario desarrollado temario resuelto nombramiento docente temario para nombramiento docente 2021 conceptos clave del curriculum nacional procesos pedagógicos nombramiento docente 2021 conocimientos pedagógicos nombramiento docente nombramiento docente 2021 temario para el examen de nombramiento 2021 temario desarrollado para el examen de nombramiento 2021 temario resuelto para el examen de nombramiento docente 2021</t>
  </si>
  <si>
    <t>universitario soy universitario pension adultos mayores adultos mayores derecho a la pension pension universal pension de adultos mayores pension adultos mayores 2021 pensiones adultos mayores 2021 pensiones de adultos mayores 2021 pension de adultos mayores aumentara en julio 2021 pension 2021 pensiones adultos 2021 ya estan realizando el pago de la pension adultos mayores ya estan realizando el pago pension adultos mayores septiembre 2021 pension septiembre</t>
  </si>
  <si>
    <t>Windows 10 Microsoft Windows (Operating System) Software (Industry) tutorial windows tutorial windows 10 Windows 10 conocimientos básicos como funciona windows 10 windows 10 gratis windows 10 version gratuita windows 2015 windows10</t>
  </si>
  <si>
    <t>Positivismo el positivismo que es el positivismo positivismo historico historia del positivismo positivismo filosofia escuela positivista positivismo augusto comte el positivismo de augusto comte postulados del positivismo positivismo comte Estado Teológico positivismo logico Augusto Comte Estado Metafísico bully magnets Bullymagnets Revolucion Cientifica Isacc Newton Ley de los Tres Estados Orden y Progreso Conocimiento cientifico Andrés Alba</t>
  </si>
  <si>
    <t>Vodafone Vodafone one #VodafoneOne el futuro es One ElFuturoEsOne #ElFuturoEsOne el futuro es Vodafone One #elfuturoesvodafoneone videos de tecnología vídeos de futuro videos de tecnología vodafone el país elpais elpais.com one.elpais.com chris dancy el hombre más conectdo del mundo más conectado del mundo</t>
  </si>
  <si>
    <t>Consejo Técnico Escolar Encuentro entre escuelas Buenas prácticas Segunda sesión del Consejo Técnico Escolar CTE Santos Rivera Buenas prácticas encuentro entre escuelas Sesiones interniveles educativos consejo tecnico escolar noviembre 2019 consejo tecnico escolar consejo tecnico escolar segunda sesion 2019 qué son las buenas prácticas docentes Cuál es el propósito de las buenas practicas encuentro entre escuelas NEM Nueva Escuela Mexicana sep cte</t>
  </si>
  <si>
    <t>educación pedagogía docentes profesores Aprendizaje Basado en Proyectos ABP Educación virtual</t>
  </si>
  <si>
    <t>FORNACION DOCENTE COMPETENCIAS DOCENTES ENFOQUE POR COMPETENCIAS ANÁLISIS FUNCIONAL ÁREA PRINCIPAL ÁREAS FUNCIONALES UNIDADES DE COMPETENCIA MÓDULOS</t>
  </si>
  <si>
    <t>iMovie</t>
  </si>
  <si>
    <t>Realidad Virtual VR Realidad Virtual UAT</t>
  </si>
  <si>
    <t>lectura CEIP VIRREY MORCILLO actividades lectoescritura aventuraula Teresa Cortés</t>
  </si>
  <si>
    <t>CAM CHILPANCINGO</t>
  </si>
  <si>
    <t>alfabetización académica instituto 48 literacy prácticas discursivas ámbito académico israel a. chira educación superior educación universitaria</t>
  </si>
  <si>
    <t>upla uv universidad de valparaíso universidad de playa ancha plan de desarrollo docente taller de habilidades iniciales docentes creatic udd</t>
  </si>
  <si>
    <t>Educación a distancia neuroaprendizaje</t>
  </si>
  <si>
    <t>edutuber edutuber argentina youtuber argentina canal educativo que es un modelo pedagogico como es un modelo pedagogico tipos de modelos pedagogicos como se hace un modelo pedagogico que es un modelo educativo que es un modelo educativo y para que sirve que es un modelo educativo y modelo pedagogico soy docente maestro y profesor</t>
  </si>
  <si>
    <t>Educación Salud IMSS Educación en salud Personal IMSS Personal de salud Médico Personal médico Salud pública Médicos Capacitación Tratamiento Medicina a distancia Telemedicina Médico a distancia interfaz Manual de usuariO Teleconsulta Consulta</t>
  </si>
  <si>
    <t>Educación Salud IMSS Educación en salud Personal IMSS Personal de salud Médico Personal médico Salud pública Médicos Capacitación Tratamiento Medicina a distancia Telemedicina Médico a distancia interfaz Manual de usuario Teleconsulta Consulta</t>
  </si>
  <si>
    <t>enfermeria revista digital imss revista de enfemería enfermería instituto mexicano seguro social</t>
  </si>
  <si>
    <t>misa de hoy misa misa hoy misa de hoy 18 julio 2020 misa 18 julio misa 18 julio 2020 misa 18 julio de 2020 santa misa de hoy sabado santa misa santa misa de hoy santa misa del dia 18 de julio de 2020 santa misa sabado 18 2020 santa misa sabado 18 de 2020 santa misa 18 julio misa televid misa de hoy televid santa misa de hoy 2020 eucaristia de hoy 18 julio 2020 eucaristia 18 julio la santa misa misa julio tele vid santa misa hoy la santa misa de hoy</t>
  </si>
  <si>
    <t>soy docente maestro y profesor coaching educativo lectoescritura spreaker capacitación videoblog material didactico estimulacion temprana curso tic alfabetizar adultos como alfabetizar adultos como enseñar a adultos enseñar metodo fonetico adultos enseñar fonemas a adultos lectoescritura para adultos Alfabetizando arabófonos adultos metodos de alfabetizacion para adultos</t>
  </si>
  <si>
    <t>tedx Spanish Language (Human Language) Business tedx talk Psychology ted talks tedx talks ted talk ted x TEDxPasseigDesBorn TEDx Spain (Country) ted</t>
  </si>
  <si>
    <t>TEDxTalks English United Kingdom Technology Achievement Apps Change Coding Computers Creativity Cyber Design Development Digital Entrepreneurship Evolution Future Ideas Impact Innovation Internet Invention Productivity Progress Revolution Simplicity Smartphone Society</t>
  </si>
  <si>
    <t>TEDxTalks English Romania Technology Digital Life Life Development Life Hack Personal growth</t>
  </si>
  <si>
    <t>Spanish Language (Human Language) ted ted x tedx talks TEDx tedx talk Leadership ted talk TEDxUniversidaddeNavarra Internet tedx Education ted talks Spain (Country)</t>
  </si>
  <si>
    <t>TEDx ted x ted talk tedx talks ted tedx talk tedx ted talks</t>
  </si>
  <si>
    <t>Strategic Thinking TEDx Design Moncloa Spanish tedx talks tedx talk Carmen Bustos Spain Innovation tedx ted talk ted talks Design Thinking Madrid TEDxMoncloa ted ted x Co-creation</t>
  </si>
  <si>
    <t>Business Productivity tedx talks ted talk Lifestyle ted tedx talk ted talks tedx ted x Health English United States TEDxClaremontColleges</t>
  </si>
  <si>
    <t>ted tedx Durazno ted talk Uruguay Artificial Intelligence (Industry) tedx talks Federico Pascual Science TEDx tedx talk TEDxDurazno Artificial Intelligence (Field Of Study) ted x Tryolabs ted talks Technology</t>
  </si>
  <si>
    <t>English Bermuda tedx talk Social Science TEDxTalks tedx ted talks ted tedx talks ted talk ted x Linguistics Psychology</t>
  </si>
  <si>
    <t>ted talk ted x TEDx tedx tedx talk ted TEDxMurcia felicidad ted talks tedx talks</t>
  </si>
  <si>
    <t>tedx talks TEDxSevilla Spanish ted x tedx Spain ted talk tedx talk Isra García ted ted talks</t>
  </si>
  <si>
    <t>TEDx tedx talks TEDxDF ted Mexico City (City/Town/Village) tedx Robótica ted x Mexico México ted talk ted talks TEDxMexicoCity tedx talk</t>
  </si>
  <si>
    <t>Youth Media English tedx talks Technology United States ted talks tedx ted TEDx ted talk ted x tedx talk TEDxDesMoines Psychology Business</t>
  </si>
  <si>
    <t>TEDxAndorralaVella Andorra ted x TEDx true story ted motivational Spanish tedx talks ted talk tedx talk ted talks tedx</t>
  </si>
  <si>
    <t>ted ted x tedx talks Spain Motivación ted talks tedx TEDxSevilla María Graciani ted talk Spanish tedx talk</t>
  </si>
  <si>
    <t>TEDxTalks English Iraq Life Life Development Life Hack Motivation</t>
  </si>
  <si>
    <t>ted talk Psychology tedx talk tedx Communication Jordan Peterson U of T Canada education TEDx talks Writing uoft Invention Social UofT Human History Potential Toronto Language ted x University of Toronto Human Behavior Philosophy ted talks Society tedx talks ted Blinders university</t>
  </si>
  <si>
    <t>TEDxTalks Spanish Technology Future Industrial design Innovation Intelligence Revolution Robots Society</t>
  </si>
  <si>
    <t>tedx TEDxGijon Childrens \Fernando Alberca\ Youth Adolescence tedx talk ted x Spain ted talk School Education ted tedx talks ted talks Spanish Family</t>
  </si>
  <si>
    <t>Lifestyle tedx TEDxFremont tedx talks ted x Psychology tedx talk English ted talk ted Science \United States (Country)\ ted talks</t>
  </si>
  <si>
    <t>ted x Spain tedx talk ted talk Español TEDxSevilla ted tedx talks Juan Martínez Barea tedx España ted talks</t>
  </si>
  <si>
    <t>ted ted x tedx talks tedx ted talks tedx talk ted talk</t>
  </si>
  <si>
    <t>TEDxTalks English United States Entertainment Film Media Technology</t>
  </si>
  <si>
    <t>Hipnosis ted talk tedx Uruguay Español Spanish Gonzalo Le Blanc Hipnosis Uruguay ted x Science Medicine TEDxDurazno ted ted talks tedx talks Daniel West tedx talk</t>
  </si>
  <si>
    <t>TEDxTalks English United States Social Science Education Life</t>
  </si>
  <si>
    <t>TEDxTalks Spanish Spain Art Cooperation Education Entrepreneurship Music (topic) Social Entrepreneurship</t>
  </si>
  <si>
    <t>TEDxTalks English United States Social Science Human origins Motivation</t>
  </si>
  <si>
    <t>TEDxTalks English United States Education Book Global issues Literature</t>
  </si>
  <si>
    <t>tedx talks TEDxPeachtree 2013 ted talks tedx talk tedx TEDx ted x TEDxPeachtree English Language (Human Language) Neale Martin ted United States Of America (Country) ted talk</t>
  </si>
  <si>
    <t>tedx talk Humour Spanish Spain TEDxMoncloa Madrid Magician ted talks Innovation Moncloa TEDx Mago More ted Change ted talk tedx talks ted x tedx</t>
  </si>
  <si>
    <t>TEDxTalks Dutch Social Science Emotions Magic Mental health Theater</t>
  </si>
  <si>
    <t>Spain Galicia spanish tedx technology tedx talks ted talks ted x tedx talk ted global issues ted talk TEDxGalicia</t>
  </si>
  <si>
    <t>TEDxTalks Spanish Spain Entertainment Book Literature</t>
  </si>
  <si>
    <t>mendoza tedx talks tedx spanish ted x ted talks tedx talk argentina ted ted talk social skills education tedxuncuyo</t>
  </si>
  <si>
    <t>\David Lago\ ted x ted talks tedx talk ted talk tedx TEDxGijon Cancer tedx talks Nanotechnology ted Research Medicine Spanish Spain</t>
  </si>
  <si>
    <t>TEDxTalks English Life Emotions Hardship Love Mental health Personal growth Psychology Relationships Time</t>
  </si>
  <si>
    <t>TEDxTalks Spanish Business Communication Intelligence Marketing</t>
  </si>
  <si>
    <t>TEDxTalks Spanish Science (hard) Data Internet Media Technology</t>
  </si>
  <si>
    <t>TEDxTalks Spanish Mexico Global Issues Cities Community Sustainability Transportation Urban Planning</t>
  </si>
  <si>
    <t>TEDxTalks English Social Science Media</t>
  </si>
  <si>
    <t>TEDxTalks English Life Friendship Motivation Relationships Self improvement Social Interaction</t>
  </si>
  <si>
    <t>TEDxTalks Spanish Life Behavorial economics Big Data Data Debate Economics Education Math Passion</t>
  </si>
  <si>
    <t>TEDxTalks English Education Language Learning Library Life Development Self improvement</t>
  </si>
  <si>
    <t>Lifestyle Stand Up Uruguay Uruguay Society ted x Comedy ted Sebastián González Spanish Humor Seba Gonzalez busca trabajo ted talk Stand Up Español ted talks Humour tedx talks Entertainment tedx talk TEDxDurazno tedx</t>
  </si>
  <si>
    <t>TEDxTalks Spanish Life Time Value</t>
  </si>
  <si>
    <t>TEDxTalks English Life Behavior Communication Speech</t>
  </si>
  <si>
    <t>TEDxTalks Spanish Mexico Social Science Achievement Communication Decision making Personal education Personal growth Social Change Value</t>
  </si>
  <si>
    <t>Spanish Language (Human Language) ted talk tedx talk ted talks United States tedx Education TEDx ted Psychology tedx talks TEDxElPaso ted x</t>
  </si>
  <si>
    <t>ted talk Change ted x ted talks Health tedx tedx talk Happiness tedx talks Guatemala Life Development ted Spanish Social Change TEDxTalks</t>
  </si>
  <si>
    <t>COMIE INVESTIGACIÓN EDUCATIVA MÉXICO Consejo Mexicano de Investigación Educativa Investigación Educativa Día internacional de la alfabetización Educación para adultos Alfabetización América Latina</t>
  </si>
  <si>
    <t>negocios originales para emprender ideas de negocios originales negocios rentables 2021 negocios rentables en mexico negocios rentables en guatemala negocios rentables en republica dominicana negocios rentables a largo plazo negocios rentables a futuro negocios fuera de lo comun tendencias de negocios 2021 negocios tendencias 2020 tendencias negocios online 2020 tendencias en negocios 2021 tendencias de negocios post covid negocios del futuro 2021</t>
  </si>
  <si>
    <t>Canal Once Canal 11 CanalOnce Canal11 Once TV OnceTV OnceTV México Once TV México Once TVMéxico Once El Once El Once es digital Once Digital Digital Rocío Brauer Rocio Brauer Alfabetización digital inclusión digital Alfabetización e inclusión digital Alfabetización inclusión educación inclusiva alianza multisectorial ONU Organización de las Naciones Unidas UNESCO</t>
  </si>
  <si>
    <t>TEDxTalks Spanish Life Aging</t>
  </si>
  <si>
    <t>ESI esi educación sexual integral educación emocional inteligencia emocional educación educacion sexual integral esi en las escuelas afectividad emociones sentimientos tóxicos relaciones inteligencia farsa jocker emociones y sentimientos escuelas educación virtual adolescentes secundarias 2020 educacion afectiva trabajo educar cómo Argentina 2020 argentina goku wason veggeta</t>
  </si>
  <si>
    <t>gym aerobic amma fitness Workout aerobic dance exercise weight loss step walk at home abs workout Aerobics free online step EMMA Fitness 25 Mins Aerobic reduction of belly fat quickly Aerobic dance workout easy steps reduction of belly fat quickly belly fat quickly 25 Mins Aerobic reduction of belly fat quickly Aerobic dance workout easy steps aerobic zumba 25 Mins Aerobic reduction of belly fat quickly - Aerobic dance workout easy steps | EMMA Fitness</t>
  </si>
  <si>
    <t>visme visme en español visme tutorial crear presentación con visme visme presentaciones visme ventajes y desventajas visme que es visme descargar visme ejemplos prezi next genially power point presentaciones crear presentación dinámica crear presentación efectiva roxana falasco rox falasco videocursosonline.com video cursos online videocursos online cursos online videocursosonline</t>
  </si>
  <si>
    <t>Esther Wojcicki pensamiento crítico educacion y tecnologia educacion y creatividad moonshots in education mooshots en educación educación mediática google for education google apps for education media arts institute media arts program palo alto high school journalism writing skills planet 3 creative commons Global educator award blended learning aprendizaje semipresencial educación online colaboración aprendizaje cooperativo aprendizaje colaborativo</t>
  </si>
  <si>
    <t>QSM QSM6 clase demostrativa QUIERO SER MAESTRO 2019 QUIERO SER MAESTRO QUIERO SER MAESTRO ECUADOR tips docente recomendaciones para enseñar FILOSOFIA DE CAMPEON FILOSOFÍA DE CAMPEÓN CLASE DEMOSTRATIVA ECUADOR CLASE DEMOSTRATIVA 2019 educación ecuador CLASE DEMOSTRATIVA QSM6 ENTREVISTA VPA VPA</t>
  </si>
  <si>
    <t>Tutorial de Computacion Basica para adultos Tutorial de Computacion Basica computacion basica para principientes computacion desde cero curso windows 10 curso de computacion badico computacion para principiantes como aprender a usar la computadora como usar la pc</t>
  </si>
  <si>
    <t>curso de computacion CURSO COMPLETO DE COMPUTACION BASICA CURSO COMPLETO DE COMPUTACION BASICA EN WINDOWS 10 CURSO DE COMPUTACION EN WINDOWS computacion basica para adultos y niños curso basico de computacion curso de computacion para principiantes como usar internet curso de computacion basico como usar una computadora COMPUTADORA windows 10 tutorial de computacion basico cursos aprender computacion informatica en internet COMPUTATION computacion 2021</t>
  </si>
  <si>
    <t>practica docente maestro educación primaria errores de maestros como ser una buena maestra como dar una clase aprendizaje colaborativo educar a los alumnos como educar a los niños primeros dias de clase docente como planificar una clase maestros novatos conseguir silencio en clase que los alumnos atiendan consejos para profesores metodologias educativas errores comunes de profesores educacion primaria crear vinculo educativo ted talk educacion magisterio</t>
  </si>
  <si>
    <t>Google Form Form Google Crear Control de Asistencia Asistencia con Google Form Captura de datos de estudiante Formulario de Google Control de Asistencia</t>
  </si>
  <si>
    <t>pedagogia educacion estudiar pedagogia licenciatura en pedagogia pedagogia carrera que es pedagogia pedagogia y educacion alfabetizacion alfabetizar paulo freire alfabetizador analfabeta analfabetismo alfabetizacion y analfabetismo que es concepto definicion como erradircar como eliminar erradicar el analfabetismo alfabetizacion para erradicar el analfabetismo lectura erradicar la pobreza pobreza economia tipos de analfabetismo tipos de alfabetizacion alanfabetizar</t>
  </si>
  <si>
    <t>Método Sarita Lectoescritura Método global aprender leer y escribir docencia maestra primaria educación básica alfabetización alfabetización inicial</t>
  </si>
  <si>
    <t>Evangelio del dia Oraciones para facebook Oraciones en video santos San Benito oraciones Dios Biblia Oracion poderosa sanación espiritualidad rezos salud amor dinero virgen angeles holistico protección trabajo hogar familia luz espíritus sabiduría religion catolico reflexiones reflexiones de Dios evangelio de hoy</t>
  </si>
  <si>
    <t>religión meditación espiritualidad Maria Virgen María teología cristianismo Santiago Martín Franciscanos de María Magnificat P. Santiago Martín FM Misioneros del Agradecimiento Magnificat.tv Iglesia Católica Católico Evangelio de hoy Santa Misa Homilía de hoy Agradecimiento Santo Rosario Vía Crucis</t>
  </si>
  <si>
    <t>FOX 13 Tampa Bay</t>
  </si>
  <si>
    <t>Vogue</t>
  </si>
  <si>
    <t>Blippi - Educational Videos for Kids</t>
  </si>
  <si>
    <t>BabyBus - Nursery Rhymes</t>
  </si>
  <si>
    <t>Fortnite</t>
  </si>
  <si>
    <t>NFL</t>
  </si>
  <si>
    <t>Dude Perfect</t>
  </si>
  <si>
    <t>Cocomelon - Nursery Rhymes</t>
  </si>
  <si>
    <t>Marvel Entertainment</t>
  </si>
  <si>
    <t>Cuestionando</t>
  </si>
  <si>
    <t>Leeres</t>
  </si>
  <si>
    <t>concortv</t>
  </si>
  <si>
    <t>Sor Kimberli Moreno</t>
  </si>
  <si>
    <t>Leticia Castañeda</t>
  </si>
  <si>
    <t>Instituto Superior Iberico</t>
  </si>
  <si>
    <t>Eduteka Portal Educativo</t>
  </si>
  <si>
    <t>EducacionNT</t>
  </si>
  <si>
    <t>TEDx Talks</t>
  </si>
  <si>
    <t>Docentes 2.0</t>
  </si>
  <si>
    <t>mastereducom</t>
  </si>
  <si>
    <t>Educar Portal</t>
  </si>
  <si>
    <t>lizet Statzewitch</t>
  </si>
  <si>
    <t>INTEF</t>
  </si>
  <si>
    <t>Plan Ceibal</t>
  </si>
  <si>
    <t>delfinespro</t>
  </si>
  <si>
    <t>Fundación Wiese</t>
  </si>
  <si>
    <t>Alex Duve Material para Docentes</t>
  </si>
  <si>
    <t>Noticieros Televisa</t>
  </si>
  <si>
    <t>ilcetv</t>
  </si>
  <si>
    <t>Capellán Digital</t>
  </si>
  <si>
    <t>euronews (en español)</t>
  </si>
  <si>
    <t>Cuartos INBCJV</t>
  </si>
  <si>
    <t>AprendemosJuntos</t>
  </si>
  <si>
    <t>T-Series Bhakti Sagar</t>
  </si>
  <si>
    <t>Hits Cristianos</t>
  </si>
  <si>
    <t>pipesoft eu</t>
  </si>
  <si>
    <t>Saber IMSS</t>
  </si>
  <si>
    <t>Interconectados Espana</t>
  </si>
  <si>
    <t>Ministerio TIC Colombia</t>
  </si>
  <si>
    <t>Proyecto Adulto Mayor</t>
  </si>
  <si>
    <t>DEL Records</t>
  </si>
  <si>
    <t>Academia de Innovación UdeC</t>
  </si>
  <si>
    <t>JULIANA MERCEDES RIVAS ESTRELLA</t>
  </si>
  <si>
    <t>KULTOCHILE</t>
  </si>
  <si>
    <t>Ecomundo Virtual</t>
  </si>
  <si>
    <t>Paty Jauregui</t>
  </si>
  <si>
    <t>Juan Ignacio Vergara</t>
  </si>
  <si>
    <t>ROCIOGALLARDOORTIZ</t>
  </si>
  <si>
    <t>Daisy Eslop</t>
  </si>
  <si>
    <t>Johanna Astudillo</t>
  </si>
  <si>
    <t>Combatiendo la Brecha Digital</t>
  </si>
  <si>
    <t>math2me</t>
  </si>
  <si>
    <t>Musinetwork School of Music</t>
  </si>
  <si>
    <t>Iván Alfonso Monroy Alquicira</t>
  </si>
  <si>
    <t>SERVIZO DE AUDIOVISUAIS da Deputación de Lugo</t>
  </si>
  <si>
    <t>Programa Inclusion Digital</t>
  </si>
  <si>
    <t>jose luis alvarez trujillo</t>
  </si>
  <si>
    <t>europaabierta</t>
  </si>
  <si>
    <t>Israel Antonio Bautista Cabrera</t>
  </si>
  <si>
    <t>Compartir México</t>
  </si>
  <si>
    <t>uziel badillo</t>
  </si>
  <si>
    <t>Jon Dornaletetxe</t>
  </si>
  <si>
    <t>Udearroba</t>
  </si>
  <si>
    <t>La voz Silenciosa Tv</t>
  </si>
  <si>
    <t>La cuna de Halicarnaso</t>
  </si>
  <si>
    <t>Zona Latina</t>
  </si>
  <si>
    <t xml:space="preserve"> SCDCORP 1994</t>
  </si>
  <si>
    <t>Lachlan</t>
  </si>
  <si>
    <t>SpaceX</t>
  </si>
  <si>
    <t>SEC Shorts</t>
  </si>
  <si>
    <t>Dude Perfect Plus</t>
  </si>
  <si>
    <t>Entertainment Tonight</t>
  </si>
  <si>
    <t>Forbes México</t>
  </si>
  <si>
    <t>TV UNAM</t>
  </si>
  <si>
    <t>La Llucana</t>
  </si>
  <si>
    <t>UDLAP</t>
  </si>
  <si>
    <t>Soy docente, maestro y profesor.</t>
  </si>
  <si>
    <t>Adultos Mayores Digitales MundoCelularCaba</t>
  </si>
  <si>
    <t>PaOlii Reyes</t>
  </si>
  <si>
    <t>Magdhita Ramos</t>
  </si>
  <si>
    <t>NativaRTV Rio Negro</t>
  </si>
  <si>
    <t>Aquí En Vivo</t>
  </si>
  <si>
    <t>ARTIME PRODUCCIONES</t>
  </si>
  <si>
    <t>Universidad Galileo</t>
  </si>
  <si>
    <t>Centro de Día (Salus Care Solutions) - Meridia</t>
  </si>
  <si>
    <t>CAPITAL 21</t>
  </si>
  <si>
    <t>fundaciontecsos</t>
  </si>
  <si>
    <t>Eduard Gonzalez</t>
  </si>
  <si>
    <t>DIOCESISTV</t>
  </si>
  <si>
    <t>Acarí Casa Campestre Centro Gerontológico</t>
  </si>
  <si>
    <t>FES Acatlán</t>
  </si>
  <si>
    <t>Todo Sociosanitario</t>
  </si>
  <si>
    <t>Oficina Empleo Mar del Plata</t>
  </si>
  <si>
    <t>Cuenta Profe</t>
  </si>
  <si>
    <t>beca70</t>
  </si>
  <si>
    <t>Norma Liliana Virkel</t>
  </si>
  <si>
    <t>MICOP805</t>
  </si>
  <si>
    <t>Lizbeth Micaela</t>
  </si>
  <si>
    <t>oLvInAnO</t>
  </si>
  <si>
    <t>UNOFernando</t>
  </si>
  <si>
    <t>Ministerio de Educación Nacional</t>
  </si>
  <si>
    <t>DGE Mendoza</t>
  </si>
  <si>
    <t>Grupo RE</t>
  </si>
  <si>
    <t>Colegio María Reina Marianistas</t>
  </si>
  <si>
    <t>Imagen UABC.tv</t>
  </si>
  <si>
    <t>Yaralı Kuşlar</t>
  </si>
  <si>
    <t>Modesto Montoya</t>
  </si>
  <si>
    <t>Exponiendo Teorías</t>
  </si>
  <si>
    <t>LaCocinadera</t>
  </si>
  <si>
    <t>Psicóloga Maria Paula</t>
  </si>
  <si>
    <t>Dr. Cesar Orsini</t>
  </si>
  <si>
    <t>Nerea Galaguerr</t>
  </si>
  <si>
    <t>Vejez Creativa Con Patricia Kelly</t>
  </si>
  <si>
    <t>M&amp;G JUGANDO SE APRENDE</t>
  </si>
  <si>
    <t>EF Santi Labartete</t>
  </si>
  <si>
    <t>Mente Activa</t>
  </si>
  <si>
    <t>Comisión de la Verdad</t>
  </si>
  <si>
    <t>Gabriel Katopodis</t>
  </si>
  <si>
    <t>Banrepcultural</t>
  </si>
  <si>
    <t>UNAM Global</t>
  </si>
  <si>
    <t>ULLaudiovisual - Universidad de La Laguna</t>
  </si>
  <si>
    <t>El Método Montessori</t>
  </si>
  <si>
    <t>Universidad Santo Tomás Bucaramanga</t>
  </si>
  <si>
    <t>Manualidades y Materiales Zukistrukis</t>
  </si>
  <si>
    <t>victor moscaiza</t>
  </si>
  <si>
    <t>Comunicación Efectiva entre Médico - Paciente</t>
  </si>
  <si>
    <t>Aquí Ecuador</t>
  </si>
  <si>
    <t>Aprender LyX</t>
  </si>
  <si>
    <t>upnmorelos</t>
  </si>
  <si>
    <t>Lindsay Messoline</t>
  </si>
  <si>
    <t>JIIC26</t>
  </si>
  <si>
    <t>Universitat Politècnica de València - UPV</t>
  </si>
  <si>
    <t>CONSUDEC - Comunicacion</t>
  </si>
  <si>
    <t>sjtics</t>
  </si>
  <si>
    <t>Guillermo Morante</t>
  </si>
  <si>
    <t>Alumni ULL</t>
  </si>
  <si>
    <t>CanalULL</t>
  </si>
  <si>
    <t>Dirección de Contenidos Educativos - DGCyE</t>
  </si>
  <si>
    <t>Rescate 2021</t>
  </si>
  <si>
    <t>JFK Cooperativa Financiera</t>
  </si>
  <si>
    <t>Ednys Ortiz</t>
  </si>
  <si>
    <t>Jose</t>
  </si>
  <si>
    <t>Andrea Arroyo</t>
  </si>
  <si>
    <t>sfcien22</t>
  </si>
  <si>
    <t>christianvib</t>
  </si>
  <si>
    <t>CODAES_Educacion UAEH</t>
  </si>
  <si>
    <t>videosFUCN</t>
  </si>
  <si>
    <t>Altruistas Jesed / Bondad</t>
  </si>
  <si>
    <t>Sandra Sánchez</t>
  </si>
  <si>
    <t>Enrique Castillo</t>
  </si>
  <si>
    <t>Compartir Palabra Maestra</t>
  </si>
  <si>
    <t>CESAR LUIS LONDONO HERNANDEZ</t>
  </si>
  <si>
    <t>María José Molina</t>
  </si>
  <si>
    <t>SAUL GOMEZ</t>
  </si>
  <si>
    <t>INDES BID</t>
  </si>
  <si>
    <t>Ideas para profes</t>
  </si>
  <si>
    <t>Educatina</t>
  </si>
  <si>
    <t>Dr. Mijail Tapia</t>
  </si>
  <si>
    <t>Luis Paz Caceres</t>
  </si>
  <si>
    <t>RICARDO GUERRA</t>
  </si>
  <si>
    <t>UNAM Global TV</t>
  </si>
  <si>
    <t>Jaume Josa</t>
  </si>
  <si>
    <t>TEDxYouth</t>
  </si>
  <si>
    <t>Enric Lladó</t>
  </si>
  <si>
    <t>Victor Toscano T V</t>
  </si>
  <si>
    <t>Colegio Inlakesh - Pedagogía Waldorf</t>
  </si>
  <si>
    <t>M.M. Finanzas</t>
  </si>
  <si>
    <t>Sebastián Lora</t>
  </si>
  <si>
    <t>Armando G. Lagos Barba</t>
  </si>
  <si>
    <t>Arata Academy SPANISH</t>
  </si>
  <si>
    <t>Educación Ecuador</t>
  </si>
  <si>
    <t>Alejandría El Canal</t>
  </si>
  <si>
    <t>Lectura Ágil</t>
  </si>
  <si>
    <t>Lesics Española</t>
  </si>
  <si>
    <t>CINU México</t>
  </si>
  <si>
    <t>CECC SICA</t>
  </si>
  <si>
    <t>Rackson4</t>
  </si>
  <si>
    <t>BiiA LAB</t>
  </si>
  <si>
    <t>Centro de Investigaciones y Servicios Educativos</t>
  </si>
  <si>
    <t>UCI</t>
  </si>
  <si>
    <t>PUCP</t>
  </si>
  <si>
    <t>Ticmas Educación</t>
  </si>
  <si>
    <t>Adriana Briseño</t>
  </si>
  <si>
    <t>David Sagrista Garcia</t>
  </si>
  <si>
    <t>AmcoBrilliant</t>
  </si>
  <si>
    <t>Colombia Digital</t>
  </si>
  <si>
    <t>UNESCO</t>
  </si>
  <si>
    <t>Jimmy Muñoz</t>
  </si>
  <si>
    <t>Más Inclusión Digital</t>
  </si>
  <si>
    <t>Namaste</t>
  </si>
  <si>
    <t>GeorgiaStandards.Org</t>
  </si>
  <si>
    <t>VideoMarketingViral</t>
  </si>
  <si>
    <t>Cibersalud Bienestar Digital</t>
  </si>
  <si>
    <t>Formación Smart</t>
  </si>
  <si>
    <t>Olfran Ovalle</t>
  </si>
  <si>
    <t>INETV</t>
  </si>
  <si>
    <t>Personas Mayores Pudahuel</t>
  </si>
  <si>
    <t>Toledo Museum of Art</t>
  </si>
  <si>
    <t>#Integrarte TV</t>
  </si>
  <si>
    <t>DW Español</t>
  </si>
  <si>
    <t>Gegbolivia</t>
  </si>
  <si>
    <t>UPM</t>
  </si>
  <si>
    <t>Matilde Burgos</t>
  </si>
  <si>
    <t>Maestro de Informática y Español.</t>
  </si>
  <si>
    <t>tercercielotv</t>
  </si>
  <si>
    <t>Cursos On-Line Masivos</t>
  </si>
  <si>
    <t>Plataforma ia13</t>
  </si>
  <si>
    <t>Mónica Vanessa Guzmán Ponce</t>
  </si>
  <si>
    <t>Pedro Sastoque</t>
  </si>
  <si>
    <t>EDUCA RD</t>
  </si>
  <si>
    <t>¡No al fracaso escolar!</t>
  </si>
  <si>
    <t>Tanya Lescano</t>
  </si>
  <si>
    <t>Gerardo Alvarez</t>
  </si>
  <si>
    <t>Alberto Perez educativaT</t>
  </si>
  <si>
    <t>kaleidoscopio</t>
  </si>
  <si>
    <t>EducacionaDebate</t>
  </si>
  <si>
    <t>EDUSAN</t>
  </si>
  <si>
    <t>CALAS - Center for Advanced Latin American Studies</t>
  </si>
  <si>
    <t>Asuntos Públicos</t>
  </si>
  <si>
    <t>Agora News</t>
  </si>
  <si>
    <t>El Mapa Digital</t>
  </si>
  <si>
    <t>César García-Rincón de Castro</t>
  </si>
  <si>
    <t>TOMi.Digital</t>
  </si>
  <si>
    <t>Protocolo y Etiqueta</t>
  </si>
  <si>
    <t>Grupo Didáctica y Nuevas Tecnologías</t>
  </si>
  <si>
    <t>TIC JEC 2016</t>
  </si>
  <si>
    <t>Tamara Gabriela Nuñez</t>
  </si>
  <si>
    <t>PerúEduca</t>
  </si>
  <si>
    <t>CAVIE Educación</t>
  </si>
  <si>
    <t>Virtual Educa</t>
  </si>
  <si>
    <t>Carlos Loncán Galindo</t>
  </si>
  <si>
    <t>Oración Católica Oficial</t>
  </si>
  <si>
    <t>ElsaMaraContable</t>
  </si>
  <si>
    <t>Canal Encuentro</t>
  </si>
  <si>
    <t>Aula del Futuro</t>
  </si>
  <si>
    <t>Educación Inicial Chubut</t>
  </si>
  <si>
    <t>guiainfantil</t>
  </si>
  <si>
    <t>Oxana Cerra</t>
  </si>
  <si>
    <t>Jose Vargas</t>
  </si>
  <si>
    <t>Televisión Pública</t>
  </si>
  <si>
    <t>Recursos Aula</t>
  </si>
  <si>
    <t>Elizabeth Campos</t>
  </si>
  <si>
    <t>inspiraTICs</t>
  </si>
  <si>
    <t>Sonrisas De Bolsillo</t>
  </si>
  <si>
    <t>Planied Rio Negro</t>
  </si>
  <si>
    <t>Centro de Innovación Mineduc</t>
  </si>
  <si>
    <t>Claustro G. P.</t>
  </si>
  <si>
    <t>gymvirtual</t>
  </si>
  <si>
    <t>Natalia Jasin</t>
  </si>
  <si>
    <t>Juan A. Marrero P.</t>
  </si>
  <si>
    <t>Guia para el Examen de Oposición</t>
  </si>
  <si>
    <t>Protocolo Olivares</t>
  </si>
  <si>
    <t>UCundinamarca virtual</t>
  </si>
  <si>
    <t>Facultad de Letras y Ciencias Humanas PUCP</t>
  </si>
  <si>
    <t>Epegasso</t>
  </si>
  <si>
    <t>Guillermo Meza</t>
  </si>
  <si>
    <t>Stefania Manrique</t>
  </si>
  <si>
    <t>José María Rosas Garibay</t>
  </si>
  <si>
    <t>Hogares Conectados</t>
  </si>
  <si>
    <t>Brian1324</t>
  </si>
  <si>
    <t>oficialineadf</t>
  </si>
  <si>
    <t>Aprender Idiomas y Cultura General con Rodrigo</t>
  </si>
  <si>
    <t>Patricia Lacolla</t>
  </si>
  <si>
    <t>El Tío Tech</t>
  </si>
  <si>
    <t>cesar rodriguez</t>
  </si>
  <si>
    <t>Eduardo Dario Borrello</t>
  </si>
  <si>
    <t>Ronal Mañuico</t>
  </si>
  <si>
    <t>EducaciónSantaFe</t>
  </si>
  <si>
    <t>Alejandra Mo.</t>
  </si>
  <si>
    <t>GUE3VARA</t>
  </si>
  <si>
    <t>GabakTech - Cursos de Computación y Tecnología</t>
  </si>
  <si>
    <t>Haciendo Escuela Mendoza</t>
  </si>
  <si>
    <t xml:space="preserve">Alex su Informatico </t>
  </si>
  <si>
    <t>TheAwarenessFamily</t>
  </si>
  <si>
    <t>Nestorin Provando Ideas</t>
  </si>
  <si>
    <t>aulaclic</t>
  </si>
  <si>
    <t>Mdemer</t>
  </si>
  <si>
    <t>RONIN Educación</t>
  </si>
  <si>
    <t>Canal ITEA</t>
  </si>
  <si>
    <t>La Geekipedia De Ernesto</t>
  </si>
  <si>
    <t>En TIC Confío</t>
  </si>
  <si>
    <t>Neodrix</t>
  </si>
  <si>
    <t>Guillermo Vélez</t>
  </si>
  <si>
    <t>CuriosaMente</t>
  </si>
  <si>
    <t>TANTATA SOLUTIONS - Diseño web Castellón</t>
  </si>
  <si>
    <t>Carlos Castillo Maldonado</t>
  </si>
  <si>
    <t>Hola Intec</t>
  </si>
  <si>
    <t>Diplomado SINED</t>
  </si>
  <si>
    <t>liceofreire</t>
  </si>
  <si>
    <t>asterissco6</t>
  </si>
  <si>
    <t>CLAVEi - Clave Informática S.L.</t>
  </si>
  <si>
    <t>municipalidaddemora</t>
  </si>
  <si>
    <t>Ednovae</t>
  </si>
  <si>
    <t>Adry Robles</t>
  </si>
  <si>
    <t>Educando Tv</t>
  </si>
  <si>
    <t>Programa Sembrador</t>
  </si>
  <si>
    <t>Andreina Paredes</t>
  </si>
  <si>
    <t>James Van der Lust</t>
  </si>
  <si>
    <t>Meryta Tellez</t>
  </si>
  <si>
    <t>Blanca Reyes</t>
  </si>
  <si>
    <t>Ciencia De y Para Todos</t>
  </si>
  <si>
    <t>Territori Creatiu</t>
  </si>
  <si>
    <t>Laura Henríquez</t>
  </si>
  <si>
    <t>Beyond the Game TV</t>
  </si>
  <si>
    <t>Brenden Williams</t>
  </si>
  <si>
    <t>RPP Noticias</t>
  </si>
  <si>
    <t>El Mundo de Isa</t>
  </si>
  <si>
    <t>BachivirtualUGC</t>
  </si>
  <si>
    <t>Noelia Reginelli</t>
  </si>
  <si>
    <t>OSIseguridad</t>
  </si>
  <si>
    <t>Fundación Integral Para Personas Sordas</t>
  </si>
  <si>
    <t>msggchile</t>
  </si>
  <si>
    <t>Estefanía Pérez Calderón</t>
  </si>
  <si>
    <t>BBC Learning English</t>
  </si>
  <si>
    <t>Gerson Carreño</t>
  </si>
  <si>
    <t>Al Rojo Vivo</t>
  </si>
  <si>
    <t>Carpintero Del Desierto</t>
  </si>
  <si>
    <t>El consultorio de Jos</t>
  </si>
  <si>
    <t>Ediciones Corefo</t>
  </si>
  <si>
    <t>Alex Arroyo</t>
  </si>
  <si>
    <t>Edutopia</t>
  </si>
  <si>
    <t>Excélsior TV</t>
  </si>
  <si>
    <t>Cecilia Ponce</t>
  </si>
  <si>
    <t>Mariajose Barrientos</t>
  </si>
  <si>
    <t>Museo Picasso Málaga</t>
  </si>
  <si>
    <t>IPAE</t>
  </si>
  <si>
    <t>Salud Publica Presente</t>
  </si>
  <si>
    <t>Lourdes</t>
  </si>
  <si>
    <t>Sitio Conectate UEPC</t>
  </si>
  <si>
    <t>Diana Cembreros - UCJC Educación</t>
  </si>
  <si>
    <t>KumikoChi03</t>
  </si>
  <si>
    <t>Diario El Comercio Videos</t>
  </si>
  <si>
    <t>GioCode</t>
  </si>
  <si>
    <t>Luis R. Silva</t>
  </si>
  <si>
    <t>Cuentos para Crecer</t>
  </si>
  <si>
    <t>carrerasconfuturo.com</t>
  </si>
  <si>
    <t>Taller Telekids</t>
  </si>
  <si>
    <t>Alfonso Gutiérrez Martín</t>
  </si>
  <si>
    <t>DANIEL SANTIAGO RUIZ SANDOVAL</t>
  </si>
  <si>
    <t>Gabriel Oscar Cáceres Peralta</t>
  </si>
  <si>
    <t>Aleja Melo</t>
  </si>
  <si>
    <t>Marco Rodríguez</t>
  </si>
  <si>
    <t>Greysi Medina</t>
  </si>
  <si>
    <t>Mr Bean Cartoon World</t>
  </si>
  <si>
    <t>ruriel94</t>
  </si>
  <si>
    <t>Voot Kids</t>
  </si>
  <si>
    <t>katerine gutierrez osorio</t>
  </si>
  <si>
    <t>Guillermo Gallegos</t>
  </si>
  <si>
    <t>POCTCTR</t>
  </si>
  <si>
    <t>Rosejean Ynot</t>
  </si>
  <si>
    <t>clariitzel</t>
  </si>
  <si>
    <t>Mariel Amez</t>
  </si>
  <si>
    <t>TED</t>
  </si>
  <si>
    <t>Luis E Estremera De Jesus</t>
  </si>
  <si>
    <t>Salesianas Medellín CMM</t>
  </si>
  <si>
    <t>hanahis salazar</t>
  </si>
  <si>
    <t>Fernando Moreno</t>
  </si>
  <si>
    <t>Pilar Fernández Cruz</t>
  </si>
  <si>
    <t>Moli Melocoton</t>
  </si>
  <si>
    <t>Edidson Victor Fuentes Nina</t>
  </si>
  <si>
    <t>Comunidad Escolar</t>
  </si>
  <si>
    <t>Cynthia Herlein</t>
  </si>
  <si>
    <t>Noveduc Libros</t>
  </si>
  <si>
    <t>Ministerio de Educación</t>
  </si>
  <si>
    <t>Haydée Isabel Nalvarte Quinteros</t>
  </si>
  <si>
    <t>Espacio Pedagógico Facultad de Ciencias Exactas</t>
  </si>
  <si>
    <t>Pablo J. Díaz Tenza</t>
  </si>
  <si>
    <t>El Futuro Es Apasionante de Vodafone</t>
  </si>
  <si>
    <t>ANA LAURA PALMA MILLAN</t>
  </si>
  <si>
    <t>Jeniffer Gordón</t>
  </si>
  <si>
    <t>Learning.com</t>
  </si>
  <si>
    <t>UNCA TV</t>
  </si>
  <si>
    <t>MediaSmarts</t>
  </si>
  <si>
    <t>World Bank</t>
  </si>
  <si>
    <t>Alba Piedad Penilla Garcia</t>
  </si>
  <si>
    <t>Richard Odon</t>
  </si>
  <si>
    <t>Eric Efrain</t>
  </si>
  <si>
    <t>jsans sans</t>
  </si>
  <si>
    <t>Roxana Falasco</t>
  </si>
  <si>
    <t>CompraTuber</t>
  </si>
  <si>
    <t>Servicio de Calidad E Innovación</t>
  </si>
  <si>
    <t>Marcela Toro</t>
  </si>
  <si>
    <t>Reggae Pacific</t>
  </si>
  <si>
    <t>JNE Televisión</t>
  </si>
  <si>
    <t>Educativa</t>
  </si>
  <si>
    <t>GCFAprendeLibre</t>
  </si>
  <si>
    <t>GRUPO AUGE Centro de Capacitación Docente</t>
  </si>
  <si>
    <t>Harto Brillante</t>
  </si>
  <si>
    <t>Todos a Aprender</t>
  </si>
  <si>
    <t>METAaprendizaje</t>
  </si>
  <si>
    <t>Marilú Caycho Cuba</t>
  </si>
  <si>
    <t>Cursos Competencias Básicas</t>
  </si>
  <si>
    <t>Fernando Félix Solís Cortés</t>
  </si>
  <si>
    <t>Mario Bonilla</t>
  </si>
  <si>
    <t>Luisa Maria Rosario Sanchez</t>
  </si>
  <si>
    <t>AmigosdelAprendizaje</t>
  </si>
  <si>
    <t>Arthuro Pertaquio</t>
  </si>
  <si>
    <t>Ignacio Mercado</t>
  </si>
  <si>
    <t>El tarro de los idiomas</t>
  </si>
  <si>
    <t>Excel Productivo</t>
  </si>
  <si>
    <t>Dúnamis Educativo</t>
  </si>
  <si>
    <t>ipicim</t>
  </si>
  <si>
    <t>Ministerio de Educación del Perú</t>
  </si>
  <si>
    <t>Pelo D' Ambrosio</t>
  </si>
  <si>
    <t>Vida de Maestra</t>
  </si>
  <si>
    <t>UNESCO en español</t>
  </si>
  <si>
    <t>Mundo Virtual</t>
  </si>
  <si>
    <t>Leonel Fernández</t>
  </si>
  <si>
    <t>Canal Once</t>
  </si>
  <si>
    <t>Canal IRCOficial</t>
  </si>
  <si>
    <t>Danny Bernales Sotomayor</t>
  </si>
  <si>
    <t>educantabriatv</t>
  </si>
  <si>
    <t>Julio César Hernández Hernández</t>
  </si>
  <si>
    <t>Universidad Miguel Hernández de Elche</t>
  </si>
  <si>
    <t>Carolina FZ</t>
  </si>
  <si>
    <t>Pontificia Universidad Javeriana Cali</t>
  </si>
  <si>
    <t>FUNGLODE</t>
  </si>
  <si>
    <t>bibliotecacepal</t>
  </si>
  <si>
    <t>Universidad Sergio Arboleda</t>
  </si>
  <si>
    <t>APRENDO EN CASA - INGLES</t>
  </si>
  <si>
    <t>unipe: Universidad Pedagógica Nacional</t>
  </si>
  <si>
    <t>1er Foro Estatal BCS La Escuela desde una Visión Inclusiva</t>
  </si>
  <si>
    <t>Instituto Nacional de Formación Docente</t>
  </si>
  <si>
    <t>FundacionAreces</t>
  </si>
  <si>
    <t>Katherine Stella Benitez Diaz</t>
  </si>
  <si>
    <t>LANDOK TV</t>
  </si>
  <si>
    <t>Infovirtual de Fundación Infocentro</t>
  </si>
  <si>
    <t>Punto Link</t>
  </si>
  <si>
    <t>Lizeth Castro</t>
  </si>
  <si>
    <t>David Cantone</t>
  </si>
  <si>
    <t>Sandra URIBE PÉREZ</t>
  </si>
  <si>
    <t>eduland.es</t>
  </si>
  <si>
    <t>OCCEducacion</t>
  </si>
  <si>
    <t>uadec cgedi</t>
  </si>
  <si>
    <t>Coordinadora de Educación Musical</t>
  </si>
  <si>
    <t>Conectando Pasos</t>
  </si>
  <si>
    <t>Educación Preescolar</t>
  </si>
  <si>
    <t>Julio Joshe</t>
  </si>
  <si>
    <t>RT en Español</t>
  </si>
  <si>
    <t>ONGAWA ONGD</t>
  </si>
  <si>
    <t>Didactikós</t>
  </si>
  <si>
    <t>Organización de Estados Iberoamericanos OEI</t>
  </si>
  <si>
    <t>Canal Educativo de la Facultad de Filología UCM</t>
  </si>
  <si>
    <t>Elisa Guerra</t>
  </si>
  <si>
    <t>HugoCandelaLinares</t>
  </si>
  <si>
    <t>Morna Entertainment</t>
  </si>
  <si>
    <t>Desi Tv Entertainment</t>
  </si>
  <si>
    <t>missdivame</t>
  </si>
  <si>
    <t>Avocado Couple I Crazy Comics</t>
  </si>
  <si>
    <t>Chota Imran khan Legend Pakistan</t>
  </si>
  <si>
    <t>RBL TV Entertainment</t>
  </si>
  <si>
    <t>Pencilmation</t>
  </si>
  <si>
    <t>JYP Entertainment</t>
  </si>
  <si>
    <t>Veyilon Entertainment</t>
  </si>
  <si>
    <t>powerpup97</t>
  </si>
  <si>
    <t>Mobitel Innovation Center</t>
  </si>
  <si>
    <t>Abril Luna</t>
  </si>
  <si>
    <t>Rational Animations</t>
  </si>
  <si>
    <t>Pangea - Never Ending World</t>
  </si>
  <si>
    <t>Diario La República</t>
  </si>
  <si>
    <t>Mercadeo Opensky</t>
  </si>
  <si>
    <t>Universidad de Lima</t>
  </si>
  <si>
    <t>NAYELI FLOTTE GOMEZ</t>
  </si>
  <si>
    <t>Jorge Vicente Videla</t>
  </si>
  <si>
    <t>Daniel Zapata</t>
  </si>
  <si>
    <t>PKM - Casinos y juegos con cartas</t>
  </si>
  <si>
    <t>MovimientoSTEM</t>
  </si>
  <si>
    <t>Programa de Educación a Distancia Córdoba</t>
  </si>
  <si>
    <t>PRINCESA DE LA LUZ</t>
  </si>
  <si>
    <t>GENERACIÓN APRENDE</t>
  </si>
  <si>
    <t>Hevesh5</t>
  </si>
  <si>
    <t>TuPortaldeSalud</t>
  </si>
  <si>
    <t>Grupo REFORMA</t>
  </si>
  <si>
    <t>AgroTv</t>
  </si>
  <si>
    <t>Develoteca</t>
  </si>
  <si>
    <t>Jorge Mancilla</t>
  </si>
  <si>
    <t>Sonja Delafosse</t>
  </si>
  <si>
    <t>Dynamic Domino</t>
  </si>
  <si>
    <t>Recreando los lazos sociales</t>
  </si>
  <si>
    <t>TICnoticos</t>
  </si>
  <si>
    <t>AatmaStudio</t>
  </si>
  <si>
    <t>Servicio Nacional de la Mujer y la Equidad de Género - SernamEG</t>
  </si>
  <si>
    <t>INACAP</t>
  </si>
  <si>
    <t>Massarik</t>
  </si>
  <si>
    <t>Info Educativa</t>
  </si>
  <si>
    <t>Mariló Pérez</t>
  </si>
  <si>
    <t>Esparza cuevas Nayeli</t>
  </si>
  <si>
    <t>Pastor Abraham González</t>
  </si>
  <si>
    <t>historia en comentarios</t>
  </si>
  <si>
    <t>Isabel Perozo</t>
  </si>
  <si>
    <t>Aula Fundación Telefónica</t>
  </si>
  <si>
    <t>Colegio Internacional Lope de Vega - Internado</t>
  </si>
  <si>
    <t>Andrei Bratescu</t>
  </si>
  <si>
    <t>neus soler</t>
  </si>
  <si>
    <t>Compartir en familia Santillana</t>
  </si>
  <si>
    <t>Educlic</t>
  </si>
  <si>
    <t>Nanashi</t>
  </si>
  <si>
    <t>Mac Kroupensky</t>
  </si>
  <si>
    <t>PQS</t>
  </si>
  <si>
    <t>mazmexico</t>
  </si>
  <si>
    <t>UBBTVCHILE</t>
  </si>
  <si>
    <t>QCPTV</t>
  </si>
  <si>
    <t>Juan Merodio</t>
  </si>
  <si>
    <t>avasej</t>
  </si>
  <si>
    <t>TV Azteca Novelas y Series</t>
  </si>
  <si>
    <t>MrClip</t>
  </si>
  <si>
    <t>WeTV Spanish</t>
  </si>
  <si>
    <t>Educo Amando T</t>
  </si>
  <si>
    <t>Arlennis Medina</t>
  </si>
  <si>
    <t>Universidad César Vallejo</t>
  </si>
  <si>
    <t>Gaptain. Educación y Seguridad Digital</t>
  </si>
  <si>
    <t>AreaFormacionBasica GeneralUv</t>
  </si>
  <si>
    <t>Donato Valdivia AQP</t>
  </si>
  <si>
    <t>ADLER ALEJANDRO FONSECA ESPINOZA</t>
  </si>
  <si>
    <t>Ronald Torres Lindemberg</t>
  </si>
  <si>
    <t>Juan Cabana</t>
  </si>
  <si>
    <t>David Guevara</t>
  </si>
  <si>
    <t>Eltuma Rido</t>
  </si>
  <si>
    <t>Grupo GEARD</t>
  </si>
  <si>
    <t>Alfredo Huchim Beaurregard</t>
  </si>
  <si>
    <t>Jordan y christian experimentando</t>
  </si>
  <si>
    <t>Fernando Soler</t>
  </si>
  <si>
    <t>Martha Jesús Milla García</t>
  </si>
  <si>
    <t>Allan Arjona</t>
  </si>
  <si>
    <t>Tutotic</t>
  </si>
  <si>
    <t>Alfin Perú</t>
  </si>
  <si>
    <t>NewMediaConsortium</t>
  </si>
  <si>
    <t>Comercio y Aduanas</t>
  </si>
  <si>
    <t>Lola SP</t>
  </si>
  <si>
    <t>Mariana Martínez</t>
  </si>
  <si>
    <t>Angelica Carhuaz Matefacil</t>
  </si>
  <si>
    <t>Francis Fuentes</t>
  </si>
  <si>
    <t>Educacion Central</t>
  </si>
  <si>
    <t>Ericka Zavaleta</t>
  </si>
  <si>
    <t>Ikate</t>
  </si>
  <si>
    <t>Romina Vazquez</t>
  </si>
  <si>
    <t>ADN Opinión</t>
  </si>
  <si>
    <t>Higueras Hernandez Martin Antonio</t>
  </si>
  <si>
    <t>CÉSAR AUGUSTO TORRES DIAZ</t>
  </si>
  <si>
    <t>Instituto Superior San Bartolomé</t>
  </si>
  <si>
    <t>MarketingIntensivo.com</t>
  </si>
  <si>
    <t>Fundación Telefónica Movistar Ar</t>
  </si>
  <si>
    <t>universidadurjc</t>
  </si>
  <si>
    <t>Instructor de Informatica</t>
  </si>
  <si>
    <t>ESCUNI</t>
  </si>
  <si>
    <t>Trabajar Desde Casa</t>
  </si>
  <si>
    <t>Luis Ordonez</t>
  </si>
  <si>
    <t>ECONOMIA para TODOS</t>
  </si>
  <si>
    <t>kiara Taveras</t>
  </si>
  <si>
    <t>Planeta Voxel</t>
  </si>
  <si>
    <t>Lifeder</t>
  </si>
  <si>
    <t>Arizona State University</t>
  </si>
  <si>
    <t>Marketing Digital y Redes Sociales</t>
  </si>
  <si>
    <t>Informática en la Web</t>
  </si>
  <si>
    <t>Somos Mente</t>
  </si>
  <si>
    <t>Platzi</t>
  </si>
  <si>
    <t>AprendeIA con Ligdi Gonzalez</t>
  </si>
  <si>
    <t>Diana Muñoz</t>
  </si>
  <si>
    <t>Mimio Educator</t>
  </si>
  <si>
    <t>Club HDPLE</t>
  </si>
  <si>
    <t>Julián Roa González</t>
  </si>
  <si>
    <t>Raw Shorts</t>
  </si>
  <si>
    <t>Mario Alfredo Garzón</t>
  </si>
  <si>
    <t>BigMarker</t>
  </si>
  <si>
    <t>MARTE 19</t>
  </si>
  <si>
    <t>Ana Rosiris Castro</t>
  </si>
  <si>
    <t>INEE México</t>
  </si>
  <si>
    <t>Congreso Educativo de Niveles y Modalidades Mérida</t>
  </si>
  <si>
    <t>Universidad de La Rioja - Unirioja</t>
  </si>
  <si>
    <t>UCOVIRTUALIDAD</t>
  </si>
  <si>
    <t>Examen Docente</t>
  </si>
  <si>
    <t>Servicio País</t>
  </si>
  <si>
    <t>Alejandra Arancibia</t>
  </si>
  <si>
    <t>Camila P</t>
  </si>
  <si>
    <t>Jesús G. Maestro</t>
  </si>
  <si>
    <t>Consejos Imagen</t>
  </si>
  <si>
    <t>Official Pink Panther</t>
  </si>
  <si>
    <t>Psicóloga Maria Elena Badillo</t>
  </si>
  <si>
    <t>LIDLearning</t>
  </si>
  <si>
    <t>EDteam</t>
  </si>
  <si>
    <t>Julio Alonso Arévalo</t>
  </si>
  <si>
    <t>primariaticful</t>
  </si>
  <si>
    <t>Conidea Consultores Educativos</t>
  </si>
  <si>
    <t>CNN Chile</t>
  </si>
  <si>
    <t>victoruchiha10</t>
  </si>
  <si>
    <t>CLA Consulting</t>
  </si>
  <si>
    <t>Diario Educación</t>
  </si>
  <si>
    <t>MovieMongerHZ</t>
  </si>
  <si>
    <t>Jürgen Klaric</t>
  </si>
  <si>
    <t>Enrique</t>
  </si>
  <si>
    <t>M E M O R I A .</t>
  </si>
  <si>
    <t>Institut de Formació Contínua IL3 - Universitat de Barcelona</t>
  </si>
  <si>
    <t>CIEC</t>
  </si>
  <si>
    <t>Paulina G.</t>
  </si>
  <si>
    <t>educacciontv</t>
  </si>
  <si>
    <t>Guerreros de la Red Michely Lopez</t>
  </si>
  <si>
    <t>Congreso Futuro</t>
  </si>
  <si>
    <t>Armando Hasudungan</t>
  </si>
  <si>
    <t>Enric Corbera Institute</t>
  </si>
  <si>
    <t>Worbis Tec</t>
  </si>
  <si>
    <t>noiluigi64</t>
  </si>
  <si>
    <t>BANANAPOTATO SUB</t>
  </si>
  <si>
    <t>Banco Mundial en America Latina y el Caribe</t>
  </si>
  <si>
    <t>Tan Dulce</t>
  </si>
  <si>
    <t>Webinars to Go</t>
  </si>
  <si>
    <t>Nilton Navarro</t>
  </si>
  <si>
    <t>Commit That Line!</t>
  </si>
  <si>
    <t>SUPERINTENDENCIA DEL SISTEMA FINANCIERO</t>
  </si>
  <si>
    <t>Formación Multimodal</t>
  </si>
  <si>
    <t>Mi Portafolio y yo</t>
  </si>
  <si>
    <t>ELECTRONICA BUSHERS</t>
  </si>
  <si>
    <t>Enterarse</t>
  </si>
  <si>
    <t>Bibliotecas Duoc UC</t>
  </si>
  <si>
    <t>MEXICAN BIKERS AND FIGHTERS</t>
  </si>
  <si>
    <t>Fundación Laboral de la Construcción -Canal You Tube</t>
  </si>
  <si>
    <t>Saber Programas</t>
  </si>
  <si>
    <t>Luis Robles</t>
  </si>
  <si>
    <t>soynellygarita</t>
  </si>
  <si>
    <t>Martin Petronacci</t>
  </si>
  <si>
    <t>Fuera del aula</t>
  </si>
  <si>
    <t>Dell Soporte</t>
  </si>
  <si>
    <t>En2minutostv</t>
  </si>
  <si>
    <t>cecc Simón Bolívar</t>
  </si>
  <si>
    <t>Dream Sound</t>
  </si>
  <si>
    <t>Mente Robot</t>
  </si>
  <si>
    <t>Jorge Norberto LOPEZ BAUTISTA</t>
  </si>
  <si>
    <t>Diego Armando Sevilla Cruz</t>
  </si>
  <si>
    <t>UNPAZ Canal Oficial</t>
  </si>
  <si>
    <t>Universitat Autònoma de Barcelona</t>
  </si>
  <si>
    <t>Universidad en Casa</t>
  </si>
  <si>
    <t>Dra. Laura Frade Rubio</t>
  </si>
  <si>
    <t>Universidad Blas Pascal</t>
  </si>
  <si>
    <t>Negocios TV</t>
  </si>
  <si>
    <t>Andalucía Conectada</t>
  </si>
  <si>
    <t>Hary V. Escobar</t>
  </si>
  <si>
    <t>Darrel Wilson - En Español</t>
  </si>
  <si>
    <t>Heidi Sorcia</t>
  </si>
  <si>
    <t>PRAX</t>
  </si>
  <si>
    <t>Sarai Ramirez Mtez</t>
  </si>
  <si>
    <t>Assessment Center EAN</t>
  </si>
  <si>
    <t>sergio vargas</t>
  </si>
  <si>
    <t>educarchile</t>
  </si>
  <si>
    <t>Eva Teba Fernández</t>
  </si>
  <si>
    <t>Globall Voices</t>
  </si>
  <si>
    <t>HipotesisdePoder</t>
  </si>
  <si>
    <t>Edgar Mozas Fenoll</t>
  </si>
  <si>
    <t>Sprouts Español</t>
  </si>
  <si>
    <t>Pedagogía MX</t>
  </si>
  <si>
    <t>SABORES DE MI CASA</t>
  </si>
  <si>
    <t>BRAIN TIME</t>
  </si>
  <si>
    <t>Daniel González</t>
  </si>
  <si>
    <t>Silvia Congost</t>
  </si>
  <si>
    <t>TAREA FACIL</t>
  </si>
  <si>
    <t>Unidad Docente Cundinamarca</t>
  </si>
  <si>
    <t>Soy Universitario</t>
  </si>
  <si>
    <t>Indigo Tecnologia</t>
  </si>
  <si>
    <t>Bully Magnets</t>
  </si>
  <si>
    <t>Profr. Santos Rivera</t>
  </si>
  <si>
    <t>Magisterio TV</t>
  </si>
  <si>
    <t>IFDC Villa Regina</t>
  </si>
  <si>
    <t>FACULTAD DE EDUCACIÓN UNIVERSIDAD DE OCCIDENTE</t>
  </si>
  <si>
    <t>Gabriel Hernandez</t>
  </si>
  <si>
    <t>Vanessa Bustos</t>
  </si>
  <si>
    <t>Maximiliano Pretto</t>
  </si>
  <si>
    <t>Joaquin Pecina</t>
  </si>
  <si>
    <t>Profe Maria innocenti</t>
  </si>
  <si>
    <t>Teresa CORTÉS</t>
  </si>
  <si>
    <t>Isabel Forte</t>
  </si>
  <si>
    <t>Práct. Discursivas Ámbito Académico / Israel Chira</t>
  </si>
  <si>
    <t>Grezan</t>
  </si>
  <si>
    <t>Colegio Continental Americano CCA</t>
  </si>
  <si>
    <t>Matemáticas profe Alex</t>
  </si>
  <si>
    <t>Tele VID</t>
  </si>
  <si>
    <t>comie mex</t>
  </si>
  <si>
    <t>Universidad Cooperativa de Colombia - Campus Cali</t>
  </si>
  <si>
    <t>NegocioStart</t>
  </si>
  <si>
    <t>EMMA Fitness</t>
  </si>
  <si>
    <t>Jornada Escolar Completa - JEC</t>
  </si>
  <si>
    <t>Usina de Propuestas</t>
  </si>
  <si>
    <t>Percurso Educacional</t>
  </si>
  <si>
    <t>FILOSOFÍA DE CAMPEÓN</t>
  </si>
  <si>
    <t>info aprendo</t>
  </si>
  <si>
    <t>INNOVAT</t>
  </si>
  <si>
    <t>Centro de Innovación UC</t>
  </si>
  <si>
    <t>UnaMaestraRural</t>
  </si>
  <si>
    <t>Tania Obando</t>
  </si>
  <si>
    <t>Oraciones en video</t>
  </si>
  <si>
    <t>Magnificat TV - Franciscanos de María</t>
  </si>
  <si>
    <t>Industrial Transformation MEXICO</t>
  </si>
  <si>
    <t>Maestro Itinerante GT1</t>
  </si>
  <si>
    <t>2021-09-13T23:57:06Z</t>
  </si>
  <si>
    <t>2021-09-14T02:33:31Z</t>
  </si>
  <si>
    <t>2021-09-02T11:00:03Z</t>
  </si>
  <si>
    <t>2021-09-09T10:00:16Z</t>
  </si>
  <si>
    <t>2021-09-13T06:00:08Z</t>
  </si>
  <si>
    <t>2021-09-09T11:00:51Z</t>
  </si>
  <si>
    <t>2021-09-14T04:15:25Z</t>
  </si>
  <si>
    <t>2021-09-13T21:58:19Z</t>
  </si>
  <si>
    <t>2021-09-04T07:00:02Z</t>
  </si>
  <si>
    <t>2021-09-13T13:00:05Z</t>
  </si>
  <si>
    <t>2020-06-27T03:00:28Z</t>
  </si>
  <si>
    <t>2021-09-07T07:00:26Z</t>
  </si>
  <si>
    <t>2021-09-14T03:06:47Z</t>
  </si>
  <si>
    <t>2011-04-29T08:21:36Z</t>
  </si>
  <si>
    <t>2012-10-10T16:33:47Z</t>
  </si>
  <si>
    <t>2016-07-08T21:12:03Z</t>
  </si>
  <si>
    <t>2014-10-10T11:17:44Z</t>
  </si>
  <si>
    <t>2017-02-23T00:32:29Z</t>
  </si>
  <si>
    <t>2021-04-07T22:09:38Z</t>
  </si>
  <si>
    <t>2018-01-08T00:30:00Z</t>
  </si>
  <si>
    <t>2015-09-12T00:11:56Z</t>
  </si>
  <si>
    <t>2017-01-14T15:23:20Z</t>
  </si>
  <si>
    <t>2010-07-26T16:17:06Z</t>
  </si>
  <si>
    <t>2016-07-04T20:23:13Z</t>
  </si>
  <si>
    <t>2015-09-08T19:21:24Z</t>
  </si>
  <si>
    <t>2015-09-13T09:29:40Z</t>
  </si>
  <si>
    <t>2017-06-26T18:00:12Z</t>
  </si>
  <si>
    <t>2011-07-04T10:50:07Z</t>
  </si>
  <si>
    <t>2018-05-22T18:36:47Z</t>
  </si>
  <si>
    <t>2019-07-14T18:24:27Z</t>
  </si>
  <si>
    <t>2016-03-29T13:17:23Z</t>
  </si>
  <si>
    <t>2018-03-27T22:42:45Z</t>
  </si>
  <si>
    <t>2017-03-20T19:34:26Z</t>
  </si>
  <si>
    <t>2018-07-17T22:39:17Z</t>
  </si>
  <si>
    <t>2019-07-11T14:13:56Z</t>
  </si>
  <si>
    <t>2017-07-13T15:08:55Z</t>
  </si>
  <si>
    <t>2015-10-30T16:56:08Z</t>
  </si>
  <si>
    <t>2011-05-03T08:44:26Z</t>
  </si>
  <si>
    <t>2021-05-10T17:30:37Z</t>
  </si>
  <si>
    <t>2021-05-22T02:29:41Z</t>
  </si>
  <si>
    <t>2020-06-24T16:08:54Z</t>
  </si>
  <si>
    <t>2011-05-10T01:35:09Z</t>
  </si>
  <si>
    <t>2020-03-21T12:00:22Z</t>
  </si>
  <si>
    <t>2021-09-14T02:57:27Z</t>
  </si>
  <si>
    <t>2021-03-12T18:37:53Z</t>
  </si>
  <si>
    <t>2020-06-06T01:34:43Z</t>
  </si>
  <si>
    <t>2016-11-24T18:34:10Z</t>
  </si>
  <si>
    <t>2013-03-23T07:19:14Z</t>
  </si>
  <si>
    <t>2019-10-07T17:09:07Z</t>
  </si>
  <si>
    <t>2021-05-19T23:57:48Z</t>
  </si>
  <si>
    <t>2019-11-01T16:00:12Z</t>
  </si>
  <si>
    <t>2019-03-27T20:48:19Z</t>
  </si>
  <si>
    <t>2021-09-13T06:00:11Z</t>
  </si>
  <si>
    <t>2020-09-27T21:34:42Z</t>
  </si>
  <si>
    <t>2007-01-25T14:37:46Z</t>
  </si>
  <si>
    <t>2020-04-06T17:23:22Z</t>
  </si>
  <si>
    <t>2014-03-12T23:27:27Z</t>
  </si>
  <si>
    <t>2007-07-30T20:57:28Z</t>
  </si>
  <si>
    <t>2007-07-31T14:25:15Z</t>
  </si>
  <si>
    <t>2010-06-23T03:34:59Z</t>
  </si>
  <si>
    <t>2020-08-19T13:00:53Z</t>
  </si>
  <si>
    <t>2020-05-22T19:40:50Z</t>
  </si>
  <si>
    <t>2014-10-15T15:32:20Z</t>
  </si>
  <si>
    <t>2015-12-07T03:03:50Z</t>
  </si>
  <si>
    <t>2012-12-06T01:37:59Z</t>
  </si>
  <si>
    <t>2007-07-30T12:44:50Z</t>
  </si>
  <si>
    <t>2007-07-28T01:46:26Z</t>
  </si>
  <si>
    <t>2015-06-13T04:37:31Z</t>
  </si>
  <si>
    <t>2014-11-24T10:36:31Z</t>
  </si>
  <si>
    <t>2014-06-07T11:58:00Z</t>
  </si>
  <si>
    <t>2014-08-12T23:18:17Z</t>
  </si>
  <si>
    <t>2013-04-22T13:43:01Z</t>
  </si>
  <si>
    <t>2011-02-18T12:38:19Z</t>
  </si>
  <si>
    <t>2010-09-23T16:09:15Z</t>
  </si>
  <si>
    <t>2020-08-12T18:14:13Z</t>
  </si>
  <si>
    <t>2014-03-28T16:50:07Z</t>
  </si>
  <si>
    <t>2014-11-02T16:16:35Z</t>
  </si>
  <si>
    <t>2017-04-06T12:37:45Z</t>
  </si>
  <si>
    <t>2013-11-27T18:14:28Z</t>
  </si>
  <si>
    <t>2021-03-05T20:22:42Z</t>
  </si>
  <si>
    <t>2018-07-12T05:35:24Z</t>
  </si>
  <si>
    <t>2021-09-14T13:52:20Z</t>
  </si>
  <si>
    <t>2021-09-14T15:12:13Z</t>
  </si>
  <si>
    <t>2021-09-14T15:14:27Z</t>
  </si>
  <si>
    <t>2021-09-14T14:03:03Z</t>
  </si>
  <si>
    <t>2021-09-13T18:29:22Z</t>
  </si>
  <si>
    <t>2021-09-14T19:47:10Z</t>
  </si>
  <si>
    <t>2021-09-13T21:59:15Z</t>
  </si>
  <si>
    <t>2021-09-13T16:27:25Z</t>
  </si>
  <si>
    <t>2019-09-16T18:39:52Z</t>
  </si>
  <si>
    <t>2021-09-14T15:12:31Z</t>
  </si>
  <si>
    <t>2021-09-14T15:07:24Z</t>
  </si>
  <si>
    <t>2021-09-13T17:04:45Z</t>
  </si>
  <si>
    <t>2021-09-14T15:48:41Z</t>
  </si>
  <si>
    <t>2018-08-14T02:19:59Z</t>
  </si>
  <si>
    <t>2021-03-06T01:30:49Z</t>
  </si>
  <si>
    <t>2021-09-13T13:35:46Z</t>
  </si>
  <si>
    <t>2021-05-28T08:37:16Z</t>
  </si>
  <si>
    <t>2021-09-13T10:01:17Z</t>
  </si>
  <si>
    <t>2021-09-14T04:31:48Z</t>
  </si>
  <si>
    <t>2021-09-13T13:00:38Z</t>
  </si>
  <si>
    <t>2021-09-13T22:00:00Z</t>
  </si>
  <si>
    <t>2021-09-13T05:00:01Z</t>
  </si>
  <si>
    <t>2020-09-07T23:45:09Z</t>
  </si>
  <si>
    <t>2021-04-13T01:00:16Z</t>
  </si>
  <si>
    <t>2021-04-21T06:05:08Z</t>
  </si>
  <si>
    <t>2020-06-02T17:57:59Z</t>
  </si>
  <si>
    <t>2019-05-30T20:14:35Z</t>
  </si>
  <si>
    <t>2017-09-25T14:15:03Z</t>
  </si>
  <si>
    <t>2020-11-26T06:16:37Z</t>
  </si>
  <si>
    <t>2014-07-28T06:31:25Z</t>
  </si>
  <si>
    <t>2014-04-19T02:31:59Z</t>
  </si>
  <si>
    <t>2015-04-08T13:50:44Z</t>
  </si>
  <si>
    <t>2017-09-24T14:26:45Z</t>
  </si>
  <si>
    <t>2017-11-28T05:20:45Z</t>
  </si>
  <si>
    <t>2012-07-07T10:37:40Z</t>
  </si>
  <si>
    <t>2011-12-14T19:42:44Z</t>
  </si>
  <si>
    <t>2015-02-09T17:16:43Z</t>
  </si>
  <si>
    <t>2015-08-20T18:40:17Z</t>
  </si>
  <si>
    <t>2010-12-27T10:24:14Z</t>
  </si>
  <si>
    <t>2020-08-16T23:04:58Z</t>
  </si>
  <si>
    <t>2010-01-22T10:30:41Z</t>
  </si>
  <si>
    <t>2018-01-05T20:49:40Z</t>
  </si>
  <si>
    <t>2015-11-04T00:30:00Z</t>
  </si>
  <si>
    <t>2020-06-18T17:42:47Z</t>
  </si>
  <si>
    <t>2017-08-25T15:18:00Z</t>
  </si>
  <si>
    <t>2016-10-15T16:05:28Z</t>
  </si>
  <si>
    <t>2016-03-07T18:48:46Z</t>
  </si>
  <si>
    <t>2016-06-01T21:58:09Z</t>
  </si>
  <si>
    <t>2013-06-27T12:41:05Z</t>
  </si>
  <si>
    <t>2009-04-19T13:45:06Z</t>
  </si>
  <si>
    <t>2015-02-20T16:36:01Z</t>
  </si>
  <si>
    <t>2017-11-27T21:49:02Z</t>
  </si>
  <si>
    <t>2012-08-20T08:40:28Z</t>
  </si>
  <si>
    <t>2011-11-24T18:23:52Z</t>
  </si>
  <si>
    <t>2013-11-25T03:15:45Z</t>
  </si>
  <si>
    <t>2021-09-08T13:21:20Z</t>
  </si>
  <si>
    <t>2011-04-29T08:12:42Z</t>
  </si>
  <si>
    <t>2014-09-26T23:53:16Z</t>
  </si>
  <si>
    <t>2016-11-25T19:00:42Z</t>
  </si>
  <si>
    <t>2018-07-06T17:14:25Z</t>
  </si>
  <si>
    <t>2017-09-07T18:36:03Z</t>
  </si>
  <si>
    <t>2020-10-10T16:29:13Z</t>
  </si>
  <si>
    <t>2019-11-25T17:00:03Z</t>
  </si>
  <si>
    <t>2019-11-26T19:00:02Z</t>
  </si>
  <si>
    <t>2021-08-20T20:00:10Z</t>
  </si>
  <si>
    <t>2021-07-30T20:00:18Z</t>
  </si>
  <si>
    <t>2021-08-13T20:00:11Z</t>
  </si>
  <si>
    <t>2021-08-30T20:00:03Z</t>
  </si>
  <si>
    <t>2018-01-12T01:34:40Z</t>
  </si>
  <si>
    <t>2021-09-10T20:00:10Z</t>
  </si>
  <si>
    <t>2020-05-24T07:04:38Z</t>
  </si>
  <si>
    <t>2017-10-31T12:02:03Z</t>
  </si>
  <si>
    <t>2021-08-27T20:00:01Z</t>
  </si>
  <si>
    <t>2021-08-30T20:00:06Z</t>
  </si>
  <si>
    <t>2021-08-06T20:30:01Z</t>
  </si>
  <si>
    <t>2019-07-18T22:30:01Z</t>
  </si>
  <si>
    <t>2021-08-17T20:10:17Z</t>
  </si>
  <si>
    <t>2019-11-19T00:17:15Z</t>
  </si>
  <si>
    <t>2021-08-17T20:12:15Z</t>
  </si>
  <si>
    <t>2021-09-09T03:17:55Z</t>
  </si>
  <si>
    <t>2021-08-17T20:10:15Z</t>
  </si>
  <si>
    <t>2018-10-18T18:00:04Z</t>
  </si>
  <si>
    <t>2018-11-14T12:45:00Z</t>
  </si>
  <si>
    <t>2020-04-10T02:50:01Z</t>
  </si>
  <si>
    <t>2021-09-02T01:15:02Z</t>
  </si>
  <si>
    <t>2020-08-07T19:11:59Z</t>
  </si>
  <si>
    <t>2021-08-18T20:15:00Z</t>
  </si>
  <si>
    <t>2021-08-17T20:11:02Z</t>
  </si>
  <si>
    <t>2018-08-26T16:10:08Z</t>
  </si>
  <si>
    <t>2021-08-25T20:15:00Z</t>
  </si>
  <si>
    <t>2020-05-09T13:30:14Z</t>
  </si>
  <si>
    <t>2017-04-07T17:31:14Z</t>
  </si>
  <si>
    <t>2019-08-28T14:50:08Z</t>
  </si>
  <si>
    <t>2019-06-18T00:29:47Z</t>
  </si>
  <si>
    <t>2014-07-28T13:26:53Z</t>
  </si>
  <si>
    <t>2019-08-19T14:36:17Z</t>
  </si>
  <si>
    <t>2016-08-05T17:10:56Z</t>
  </si>
  <si>
    <t>2019-06-24T19:22:37Z</t>
  </si>
  <si>
    <t>2020-07-13T16:16:54Z</t>
  </si>
  <si>
    <t>2021-06-20T17:00:19Z</t>
  </si>
  <si>
    <t>2020-05-22T05:00:30Z</t>
  </si>
  <si>
    <t>2020-05-02T20:15:50Z</t>
  </si>
  <si>
    <t>2019-02-14T08:59:13Z</t>
  </si>
  <si>
    <t>2017-08-10T22:16:40Z</t>
  </si>
  <si>
    <t>2014-03-25T17:50:33Z</t>
  </si>
  <si>
    <t>2012-06-14T09:01:47Z</t>
  </si>
  <si>
    <t>2011-11-10T17:57:17Z</t>
  </si>
  <si>
    <t>2014-02-27T23:35:40Z</t>
  </si>
  <si>
    <t>2021-03-04T12:54:09Z</t>
  </si>
  <si>
    <t>2011-02-24T23:13:02Z</t>
  </si>
  <si>
    <t>2021-03-04T12:57:32Z</t>
  </si>
  <si>
    <t>2014-07-28T12:25:58Z</t>
  </si>
  <si>
    <t>2018-05-09T09:04:40Z</t>
  </si>
  <si>
    <t>2012-12-10T20:13:20Z</t>
  </si>
  <si>
    <t>2012-06-08T19:58:12Z</t>
  </si>
  <si>
    <t>2015-11-30T13:15:09Z</t>
  </si>
  <si>
    <t>2015-06-01T11:35:30Z</t>
  </si>
  <si>
    <t>2012-06-19T02:32:11Z</t>
  </si>
  <si>
    <t>2014-07-28T12:14:47Z</t>
  </si>
  <si>
    <t>2014-04-29T14:01:07Z</t>
  </si>
  <si>
    <t>2014-06-18T15:54:49Z</t>
  </si>
  <si>
    <t>2016-01-13T09:11:39Z</t>
  </si>
  <si>
    <t>2009-05-07T00:51:25Z</t>
  </si>
  <si>
    <t>2015-03-04T07:36:29Z</t>
  </si>
  <si>
    <t>2020-11-15T05:52:26Z</t>
  </si>
  <si>
    <t>2019-09-12T13:50:36Z</t>
  </si>
  <si>
    <t>2019-02-07T05:20:42Z</t>
  </si>
  <si>
    <t>2021-02-08T15:15:07Z</t>
  </si>
  <si>
    <t>2010-06-17T16:36:54Z</t>
  </si>
  <si>
    <t>2013-03-30T18:19:56Z</t>
  </si>
  <si>
    <t>2009-10-18T00:03:28Z</t>
  </si>
  <si>
    <t>2015-10-07T01:59:47Z</t>
  </si>
  <si>
    <t>2021-09-13T15:50:50Z</t>
  </si>
  <si>
    <t>2015-12-09T22:28:45Z</t>
  </si>
  <si>
    <t>2021-09-10T20:51:04Z</t>
  </si>
  <si>
    <t>2009-03-20T05:38:41Z</t>
  </si>
  <si>
    <t>2021-09-13T12:59:04Z</t>
  </si>
  <si>
    <t>2019-11-15T07:59:45Z</t>
  </si>
  <si>
    <t>2017-12-09T22:17:42Z</t>
  </si>
  <si>
    <t>2012-03-26T05:06:08Z</t>
  </si>
  <si>
    <t>2015-11-04T15:50:22Z</t>
  </si>
  <si>
    <t>2020-02-13T03:17:02Z</t>
  </si>
  <si>
    <t>2019-04-19T20:52:23Z</t>
  </si>
  <si>
    <t>2011-11-16T21:32:08Z</t>
  </si>
  <si>
    <t>2008-10-27T01:06:14Z</t>
  </si>
  <si>
    <t>2020-05-08T02:39:18Z</t>
  </si>
  <si>
    <t>2017-10-22T12:42:39Z</t>
  </si>
  <si>
    <t>2014-06-09T22:18:57Z</t>
  </si>
  <si>
    <t>2018-05-26T23:00:01Z</t>
  </si>
  <si>
    <t>2018-12-14T12:46:39Z</t>
  </si>
  <si>
    <t>2020-05-15T00:14:25Z</t>
  </si>
  <si>
    <t>2021-02-12T14:49:15Z</t>
  </si>
  <si>
    <t>2021-03-14T01:24:33Z</t>
  </si>
  <si>
    <t>2019-02-20T21:41:07Z</t>
  </si>
  <si>
    <t>2021-03-10T16:57:17Z</t>
  </si>
  <si>
    <t>2021-01-26T16:45:00Z</t>
  </si>
  <si>
    <t>2021-09-12T16:45:02Z</t>
  </si>
  <si>
    <t>2012-07-03T22:39:06Z</t>
  </si>
  <si>
    <t>2013-09-12T13:01:55Z</t>
  </si>
  <si>
    <t>2013-03-05T05:23:03Z</t>
  </si>
  <si>
    <t>2016-05-21T03:41:01Z</t>
  </si>
  <si>
    <t>2014-07-21T20:42:21Z</t>
  </si>
  <si>
    <t>2020-11-26T21:14:55Z</t>
  </si>
  <si>
    <t>2018-02-18T18:00:02Z</t>
  </si>
  <si>
    <t>2013-09-23T04:07:55Z</t>
  </si>
  <si>
    <t>2017-07-10T16:00:08Z</t>
  </si>
  <si>
    <t>2021-09-10T16:45:00Z</t>
  </si>
  <si>
    <t>2016-11-08T18:18:36Z</t>
  </si>
  <si>
    <t>2021-09-13T17:45:01Z</t>
  </si>
  <si>
    <t>2020-07-21T15:51:50Z</t>
  </si>
  <si>
    <t>2019-03-29T17:28:53Z</t>
  </si>
  <si>
    <t>2021-09-14T16:27:45Z</t>
  </si>
  <si>
    <t>2021-09-11T14:45:05Z</t>
  </si>
  <si>
    <t>2019-02-19T03:17:32Z</t>
  </si>
  <si>
    <t>2014-02-23T19:14:16Z</t>
  </si>
  <si>
    <t>2021-09-13T10:45:01Z</t>
  </si>
  <si>
    <t>2021-09-12T17:45:03Z</t>
  </si>
  <si>
    <t>2021-09-12T12:45:02Z</t>
  </si>
  <si>
    <t>2021-09-09T21:31:23Z</t>
  </si>
  <si>
    <t>2021-09-13T18:45:00Z</t>
  </si>
  <si>
    <t>2021-09-10T19:09:39Z</t>
  </si>
  <si>
    <t>2021-09-13T16:45:00Z</t>
  </si>
  <si>
    <t>2021-05-21T02:30:49Z</t>
  </si>
  <si>
    <t>2014-04-08T12:09:29Z</t>
  </si>
  <si>
    <t>2009-03-24T19:16:45Z</t>
  </si>
  <si>
    <t>2009-02-23T05:33:14Z</t>
  </si>
  <si>
    <t>2015-02-24T20:39:29Z</t>
  </si>
  <si>
    <t>2015-07-07T15:55:38Z</t>
  </si>
  <si>
    <t>2016-07-05T19:45:01Z</t>
  </si>
  <si>
    <t>2019-03-19T06:24:08Z</t>
  </si>
  <si>
    <t>2013-08-26T14:32:49Z</t>
  </si>
  <si>
    <t>2020-09-02T21:15:00Z</t>
  </si>
  <si>
    <t>2014-12-12T22:32:55Z</t>
  </si>
  <si>
    <t>2014-09-04T15:15:39Z</t>
  </si>
  <si>
    <t>2014-08-22T00:43:17Z</t>
  </si>
  <si>
    <t>2012-11-16T16:51:27Z</t>
  </si>
  <si>
    <t>2020-09-03T15:27:28Z</t>
  </si>
  <si>
    <t>2020-10-10T16:18:23Z</t>
  </si>
  <si>
    <t>2020-07-22T19:00:09Z</t>
  </si>
  <si>
    <t>2020-04-07T14:00:25Z</t>
  </si>
  <si>
    <t>2017-04-17T18:38:44Z</t>
  </si>
  <si>
    <t>2015-07-29T13:00:00Z</t>
  </si>
  <si>
    <t>2020-12-26T23:18:06Z</t>
  </si>
  <si>
    <t>2021-03-22T16:02:43Z</t>
  </si>
  <si>
    <t>2016-10-28T14:13:37Z</t>
  </si>
  <si>
    <t>2020-07-09T02:31:26Z</t>
  </si>
  <si>
    <t>2021-02-23T21:44:38Z</t>
  </si>
  <si>
    <t>2015-03-12T19:31:46Z</t>
  </si>
  <si>
    <t>2020-05-26T17:57:13Z</t>
  </si>
  <si>
    <t>2016-01-19T17:10:23Z</t>
  </si>
  <si>
    <t>2013-11-19T16:35:01Z</t>
  </si>
  <si>
    <t>2020-08-27T12:26:52Z</t>
  </si>
  <si>
    <t>2021-02-12T13:48:17Z</t>
  </si>
  <si>
    <t>2020-04-28T01:05:10Z</t>
  </si>
  <si>
    <t>2017-05-16T08:20:20Z</t>
  </si>
  <si>
    <t>2020-07-06T20:33:28Z</t>
  </si>
  <si>
    <t>2020-01-13T01:38:13Z</t>
  </si>
  <si>
    <t>2020-12-28T17:45:21Z</t>
  </si>
  <si>
    <t>2018-02-26T11:51:59Z</t>
  </si>
  <si>
    <t>2020-07-29T19:00:25Z</t>
  </si>
  <si>
    <t>2019-12-20T16:35:11Z</t>
  </si>
  <si>
    <t>2019-05-08T17:02:23Z</t>
  </si>
  <si>
    <t>2020-11-27T12:18:37Z</t>
  </si>
  <si>
    <t>2016-07-22T03:00:27Z</t>
  </si>
  <si>
    <t>2013-09-14T03:09:50Z</t>
  </si>
  <si>
    <t>2013-11-11T16:19:03Z</t>
  </si>
  <si>
    <t>2014-01-25T20:28:19Z</t>
  </si>
  <si>
    <t>2017-07-10T01:37:00Z</t>
  </si>
  <si>
    <t>2020-11-11T12:32:09Z</t>
  </si>
  <si>
    <t>2011-11-09T20:16:24Z</t>
  </si>
  <si>
    <t>2020-11-30T14:47:21Z</t>
  </si>
  <si>
    <t>2010-08-29T20:17:28Z</t>
  </si>
  <si>
    <t>2019-01-22T00:47:41Z</t>
  </si>
  <si>
    <t>2020-11-10T23:26:51Z</t>
  </si>
  <si>
    <t>2020-05-02T21:48:49Z</t>
  </si>
  <si>
    <t>2013-01-22T08:39:56Z</t>
  </si>
  <si>
    <t>2019-08-06T02:09:17Z</t>
  </si>
  <si>
    <t>2020-10-28T13:52:01Z</t>
  </si>
  <si>
    <t>2020-11-09T02:01:03Z</t>
  </si>
  <si>
    <t>2019-12-16T18:27:29Z</t>
  </si>
  <si>
    <t>2012-07-07T03:06:52Z</t>
  </si>
  <si>
    <t>2015-10-22T08:24:46Z</t>
  </si>
  <si>
    <t>2015-03-15T21:35:36Z</t>
  </si>
  <si>
    <t>2019-01-27T00:30:15Z</t>
  </si>
  <si>
    <t>2014-01-24T12:31:34Z</t>
  </si>
  <si>
    <t>2013-09-13T15:21:25Z</t>
  </si>
  <si>
    <t>2014-02-13T11:21:21Z</t>
  </si>
  <si>
    <t>2013-11-25T17:48:24Z</t>
  </si>
  <si>
    <t>2016-06-30T04:48:15Z</t>
  </si>
  <si>
    <t>2016-06-27T02:55:25Z</t>
  </si>
  <si>
    <t>2020-05-02T21:31:35Z</t>
  </si>
  <si>
    <t>2020-08-09T03:01:56Z</t>
  </si>
  <si>
    <t>2010-12-23T19:37:09Z</t>
  </si>
  <si>
    <t>2020-06-06T13:00:12Z</t>
  </si>
  <si>
    <t>2017-02-18T16:58:11Z</t>
  </si>
  <si>
    <t>2019-07-11T14:08:28Z</t>
  </si>
  <si>
    <t>2020-02-04T23:04:15Z</t>
  </si>
  <si>
    <t>2016-01-28T20:34:12Z</t>
  </si>
  <si>
    <t>2021-09-14T17:23:59Z</t>
  </si>
  <si>
    <t>2021-09-14T17:38:19Z</t>
  </si>
  <si>
    <t>2021-09-14T17:36:23Z</t>
  </si>
  <si>
    <t>2021-09-14T17:00:06Z</t>
  </si>
  <si>
    <t>2011-05-24T13:46:22Z</t>
  </si>
  <si>
    <t>2019-05-08T17:36:58Z</t>
  </si>
  <si>
    <t>2012-08-10T19:42:45Z</t>
  </si>
  <si>
    <t>2020-12-29T12:30:03Z</t>
  </si>
  <si>
    <t>2019-05-08T17:36:50Z</t>
  </si>
  <si>
    <t>2015-05-08T11:10:37Z</t>
  </si>
  <si>
    <t>2017-03-01T09:14:22Z</t>
  </si>
  <si>
    <t>2014-12-02T20:18:38Z</t>
  </si>
  <si>
    <t>2016-09-28T07:14:37Z</t>
  </si>
  <si>
    <t>2018-04-24T03:47:19Z</t>
  </si>
  <si>
    <t>2016-10-29T17:38:11Z</t>
  </si>
  <si>
    <t>2018-10-10T14:23:46Z</t>
  </si>
  <si>
    <t>2010-11-24T19:58:04Z</t>
  </si>
  <si>
    <t>2020-03-04T14:18:36Z</t>
  </si>
  <si>
    <t>2018-11-06T15:07:46Z</t>
  </si>
  <si>
    <t>2019-11-05T02:30:35Z</t>
  </si>
  <si>
    <t>2020-09-24T23:45:00Z</t>
  </si>
  <si>
    <t>2019-08-08T11:34:12Z</t>
  </si>
  <si>
    <t>2014-03-06T16:33:21Z</t>
  </si>
  <si>
    <t>2018-06-20T01:18:39Z</t>
  </si>
  <si>
    <t>2016-11-09T17:00:08Z</t>
  </si>
  <si>
    <t>2015-01-23T16:27:46Z</t>
  </si>
  <si>
    <t>2020-08-25T04:27:15Z</t>
  </si>
  <si>
    <t>2016-06-06T03:39:15Z</t>
  </si>
  <si>
    <t>2012-03-24T20:08:43Z</t>
  </si>
  <si>
    <t>2020-08-04T05:56:47Z</t>
  </si>
  <si>
    <t>2016-08-19T06:29:30Z</t>
  </si>
  <si>
    <t>2019-10-31T18:25:30Z</t>
  </si>
  <si>
    <t>2010-05-27T21:48:02Z</t>
  </si>
  <si>
    <t>2020-08-13T12:00:09Z</t>
  </si>
  <si>
    <t>2013-11-11T06:26:52Z</t>
  </si>
  <si>
    <t>2011-09-23T11:28:11Z</t>
  </si>
  <si>
    <t>2017-11-08T21:51:10Z</t>
  </si>
  <si>
    <t>2017-01-27T03:42:16Z</t>
  </si>
  <si>
    <t>2020-08-19T19:38:53Z</t>
  </si>
  <si>
    <t>2016-06-20T20:56:28Z</t>
  </si>
  <si>
    <t>2016-10-19T15:44:16Z</t>
  </si>
  <si>
    <t>2012-04-17T22:54:14Z</t>
  </si>
  <si>
    <t>2014-12-04T00:30:52Z</t>
  </si>
  <si>
    <t>2016-07-01T03:04:15Z</t>
  </si>
  <si>
    <t>2011-04-20T17:16:04Z</t>
  </si>
  <si>
    <t>2017-11-16T01:10:18Z</t>
  </si>
  <si>
    <t>2014-03-08T04:06:53Z</t>
  </si>
  <si>
    <t>2015-05-07T14:36:26Z</t>
  </si>
  <si>
    <t>2013-05-13T22:18:06Z</t>
  </si>
  <si>
    <t>2010-10-05T04:39:29Z</t>
  </si>
  <si>
    <t>2014-10-24T09:04:24Z</t>
  </si>
  <si>
    <t>2019-03-01T03:25:42Z</t>
  </si>
  <si>
    <t>2011-04-02T07:22:23Z</t>
  </si>
  <si>
    <t>2015-02-13T14:09:27Z</t>
  </si>
  <si>
    <t>2015-05-07T21:28:41Z</t>
  </si>
  <si>
    <t>2013-08-20T00:18:01Z</t>
  </si>
  <si>
    <t>2012-08-28T02:25:47Z</t>
  </si>
  <si>
    <t>2013-08-24T10:57:50Z</t>
  </si>
  <si>
    <t>2009-09-05T15:54:47Z</t>
  </si>
  <si>
    <t>2018-03-14T19:09:06Z</t>
  </si>
  <si>
    <t>2009-11-07T02:01:35Z</t>
  </si>
  <si>
    <t>2015-11-04T20:53:02Z</t>
  </si>
  <si>
    <t>2014-01-15T16:19:18Z</t>
  </si>
  <si>
    <t>2016-12-06T23:00:00Z</t>
  </si>
  <si>
    <t>2018-12-04T00:42:26Z</t>
  </si>
  <si>
    <t>2015-09-01T15:48:54Z</t>
  </si>
  <si>
    <t>2014-09-30T22:38:59Z</t>
  </si>
  <si>
    <t>2015-09-07T16:12:18Z</t>
  </si>
  <si>
    <t>2014-07-07T11:12:58Z</t>
  </si>
  <si>
    <t>2017-11-14T06:13:05Z</t>
  </si>
  <si>
    <t>2017-01-24T14:24:48Z</t>
  </si>
  <si>
    <t>2017-05-27T22:38:34Z</t>
  </si>
  <si>
    <t>2014-09-03T16:31:31Z</t>
  </si>
  <si>
    <t>2013-07-19T19:34:13Z</t>
  </si>
  <si>
    <t>2015-11-17T15:06:05Z</t>
  </si>
  <si>
    <t>2016-08-12T04:42:50Z</t>
  </si>
  <si>
    <t>2018-01-12T11:24:44Z</t>
  </si>
  <si>
    <t>2011-03-06T16:31:25Z</t>
  </si>
  <si>
    <t>2019-03-21T15:26:04Z</t>
  </si>
  <si>
    <t>2017-01-10T22:23:05Z</t>
  </si>
  <si>
    <t>2020-11-01T11:25:01Z</t>
  </si>
  <si>
    <t>2017-10-05T13:09:29Z</t>
  </si>
  <si>
    <t>2016-10-20T13:17:53Z</t>
  </si>
  <si>
    <t>2015-04-26T20:41:12Z</t>
  </si>
  <si>
    <t>2016-02-11T13:00:01Z</t>
  </si>
  <si>
    <t>2013-09-17T04:23:15Z</t>
  </si>
  <si>
    <t>2016-09-09T02:17:47Z</t>
  </si>
  <si>
    <t>2019-06-08T17:02:41Z</t>
  </si>
  <si>
    <t>2019-06-07T04:01:31Z</t>
  </si>
  <si>
    <t>2012-07-04T08:37:24Z</t>
  </si>
  <si>
    <t>2016-02-07T23:58:23Z</t>
  </si>
  <si>
    <t>2019-12-19T20:00:07Z</t>
  </si>
  <si>
    <t>2017-10-02T16:22:37Z</t>
  </si>
  <si>
    <t>2021-09-14T16:46:04Z</t>
  </si>
  <si>
    <t>2021-09-13T22:46:07Z</t>
  </si>
  <si>
    <t>2018-04-21T04:41:32Z</t>
  </si>
  <si>
    <t>2021-09-10T00:41:28Z</t>
  </si>
  <si>
    <t>2018-01-12T18:20:44Z</t>
  </si>
  <si>
    <t>2021-09-08T00:25:59Z</t>
  </si>
  <si>
    <t>2014-04-25T20:17:29Z</t>
  </si>
  <si>
    <t>2021-09-13T22:40:17Z</t>
  </si>
  <si>
    <t>2021-09-10T12:58:26Z</t>
  </si>
  <si>
    <t>2019-02-07T19:38:43Z</t>
  </si>
  <si>
    <t>2020-03-30T12:02:15Z</t>
  </si>
  <si>
    <t>2021-09-14T00:24:04Z</t>
  </si>
  <si>
    <t>2021-09-09T21:07:41Z</t>
  </si>
  <si>
    <t>2021-09-07T23:47:57Z</t>
  </si>
  <si>
    <t>2021-09-13T22:08:24Z</t>
  </si>
  <si>
    <t>2021-09-07T23:11:46Z</t>
  </si>
  <si>
    <t>2021-09-07T23:15:10Z</t>
  </si>
  <si>
    <t>2021-09-07T23:33:37Z</t>
  </si>
  <si>
    <t>2010-11-08T17:04:44Z</t>
  </si>
  <si>
    <t>2016-02-04T23:13:34Z</t>
  </si>
  <si>
    <t>2011-09-23T03:06:05Z</t>
  </si>
  <si>
    <t>2020-12-11T02:54:15Z</t>
  </si>
  <si>
    <t>2017-10-13T10:17:23Z</t>
  </si>
  <si>
    <t>2017-04-03T04:45:04Z</t>
  </si>
  <si>
    <t>2019-11-28T02:33:09Z</t>
  </si>
  <si>
    <t>2020-07-05T21:32:19Z</t>
  </si>
  <si>
    <t>2019-06-09T02:02:36Z</t>
  </si>
  <si>
    <t>2020-12-04T14:33:31Z</t>
  </si>
  <si>
    <t>2017-03-13T12:22:57Z</t>
  </si>
  <si>
    <t>2016-01-06T18:02:53Z</t>
  </si>
  <si>
    <t>2019-01-08T00:19:41Z</t>
  </si>
  <si>
    <t>2016-05-16T03:15:39Z</t>
  </si>
  <si>
    <t>2019-05-21T18:43:34Z</t>
  </si>
  <si>
    <t>2016-08-25T11:58:36Z</t>
  </si>
  <si>
    <t>2021-07-28T08:00:00Z</t>
  </si>
  <si>
    <t>2018-12-21T12:18:40Z</t>
  </si>
  <si>
    <t>2014-11-26T11:33:13Z</t>
  </si>
  <si>
    <t>2021-03-04T12:54:38Z</t>
  </si>
  <si>
    <t>2018-08-29T14:43:05Z</t>
  </si>
  <si>
    <t>2021-05-19T10:12:55Z</t>
  </si>
  <si>
    <t>2021-03-01T12:24:24Z</t>
  </si>
  <si>
    <t>2015-11-09T02:40:23Z</t>
  </si>
  <si>
    <t>2021-03-01T12:24:16Z</t>
  </si>
  <si>
    <t>2015-11-30T13:04:37Z</t>
  </si>
  <si>
    <t>2018-05-30T17:30:26Z</t>
  </si>
  <si>
    <t>2012-08-30T00:12:45Z</t>
  </si>
  <si>
    <t>2021-03-04T12:55:45Z</t>
  </si>
  <si>
    <t>2007-07-31T21:27:38Z</t>
  </si>
  <si>
    <t>2021-06-01T15:19:22Z</t>
  </si>
  <si>
    <t>2017-02-14T21:05:35Z</t>
  </si>
  <si>
    <t>2011-09-22T18:07:51Z</t>
  </si>
  <si>
    <t>2008-06-19T22:18:56Z</t>
  </si>
  <si>
    <t>2018-05-20T20:30:00Z</t>
  </si>
  <si>
    <t>2014-07-28T13:33:20Z</t>
  </si>
  <si>
    <t>2020-07-07T10:57:25Z</t>
  </si>
  <si>
    <t>2020-02-20T12:40:58Z</t>
  </si>
  <si>
    <t>2019-08-08T10:50:09Z</t>
  </si>
  <si>
    <t>2020-07-06T07:06:50Z</t>
  </si>
  <si>
    <t>2020-06-29T12:09:41Z</t>
  </si>
  <si>
    <t>2020-06-29T12:02:00Z</t>
  </si>
  <si>
    <t>2019-08-08T10:50:20Z</t>
  </si>
  <si>
    <t>2019-08-08T10:50:00Z</t>
  </si>
  <si>
    <t>2020-02-07T08:30:22Z</t>
  </si>
  <si>
    <t>2021-05-27T08:46:12Z</t>
  </si>
  <si>
    <t>2020-03-05T08:11:47Z</t>
  </si>
  <si>
    <t>2021-02-18T06:54:10Z</t>
  </si>
  <si>
    <t>2021-05-27T08:46:16Z</t>
  </si>
  <si>
    <t>2019-08-08T10:50:14Z</t>
  </si>
  <si>
    <t>2019-08-08T10:50:04Z</t>
  </si>
  <si>
    <t>2020-06-29T12:12:29Z</t>
  </si>
  <si>
    <t>2021-06-16T06:05:57Z</t>
  </si>
  <si>
    <t>2012-11-22T10:22:55Z</t>
  </si>
  <si>
    <t>2014-07-28T12:27:15Z</t>
  </si>
  <si>
    <t>2014-11-20T09:56:47Z</t>
  </si>
  <si>
    <t>2011-02-11T23:35:31Z</t>
  </si>
  <si>
    <t>2017-09-07T08:16:44Z</t>
  </si>
  <si>
    <t>2012-11-25T17:48:31Z</t>
  </si>
  <si>
    <t>2015-01-19T13:59:30Z</t>
  </si>
  <si>
    <t>2013-04-08T13:30:06Z</t>
  </si>
  <si>
    <t>2020-06-16T04:48:17Z</t>
  </si>
  <si>
    <t>2018-08-01T03:00:16Z</t>
  </si>
  <si>
    <t>2017-11-09T01:27:26Z</t>
  </si>
  <si>
    <t>2021-04-15T16:06:12Z</t>
  </si>
  <si>
    <t>2019-07-30T15:43:23Z</t>
  </si>
  <si>
    <t>2017-04-07T23:04:14Z</t>
  </si>
  <si>
    <t>2019-03-03T15:00:09Z</t>
  </si>
  <si>
    <t>2019-04-26T14:00:04Z</t>
  </si>
  <si>
    <t>2019-06-25T16:00:01Z</t>
  </si>
  <si>
    <t>2016-03-31T09:36:48Z</t>
  </si>
  <si>
    <t>2019-01-22T05:51:29Z</t>
  </si>
  <si>
    <t>2017-04-02T19:35:30Z</t>
  </si>
  <si>
    <t>2017-09-08T03:30:24Z</t>
  </si>
  <si>
    <t>2010-01-04T20:41:10Z</t>
  </si>
  <si>
    <t>2017-07-14T17:09:45Z</t>
  </si>
  <si>
    <t>2014-02-24T04:46:57Z</t>
  </si>
  <si>
    <t>2013-11-09T03:11:53Z</t>
  </si>
  <si>
    <t>2018-05-02T14:45:59Z</t>
  </si>
  <si>
    <t>2015-10-13T01:27:14Z</t>
  </si>
  <si>
    <t>2015-04-25T13:55:04Z</t>
  </si>
  <si>
    <t>2015-10-26T23:12:14Z</t>
  </si>
  <si>
    <t>2016-02-13T12:17:18Z</t>
  </si>
  <si>
    <t>2017-11-28T17:13:10Z</t>
  </si>
  <si>
    <t>2020-07-24T03:27:42Z</t>
  </si>
  <si>
    <t>2013-05-14T04:05:07Z</t>
  </si>
  <si>
    <t>2020-04-29T21:59:53Z</t>
  </si>
  <si>
    <t>2018-01-16T00:42:17Z</t>
  </si>
  <si>
    <t>2020-05-19T22:04:55Z</t>
  </si>
  <si>
    <t>2020-09-07T22:33:15Z</t>
  </si>
  <si>
    <t>2020-05-02T03:27:12Z</t>
  </si>
  <si>
    <t>2019-05-29T13:19:10Z</t>
  </si>
  <si>
    <t>2020-04-27T21:33:48Z</t>
  </si>
  <si>
    <t>2021-07-21T19:19:23Z</t>
  </si>
  <si>
    <t>2013-07-02T19:08:29Z</t>
  </si>
  <si>
    <t>2019-07-11T14:10:18Z</t>
  </si>
  <si>
    <t>2019-03-21T12:24:27Z</t>
  </si>
  <si>
    <t>2016-05-12T17:41:49Z</t>
  </si>
  <si>
    <t>2018-03-14T11:11:59Z</t>
  </si>
  <si>
    <t>2020-10-15T01:10:16Z</t>
  </si>
  <si>
    <t>2018-12-07T18:49:02Z</t>
  </si>
  <si>
    <t>2020-09-03T13:35:12Z</t>
  </si>
  <si>
    <t>2020-03-30T12:10:23Z</t>
  </si>
  <si>
    <t>2018-05-31T10:00:05Z</t>
  </si>
  <si>
    <t>2020-04-27T18:58:17Z</t>
  </si>
  <si>
    <t>2014-11-03T22:39:50Z</t>
  </si>
  <si>
    <t>2015-01-05T12:01:26Z</t>
  </si>
  <si>
    <t>2016-08-30T17:59:24Z</t>
  </si>
  <si>
    <t>2018-11-24T20:18:50Z</t>
  </si>
  <si>
    <t>2020-06-02T22:46:12Z</t>
  </si>
  <si>
    <t>2019-06-06T16:29:53Z</t>
  </si>
  <si>
    <t>2020-08-03T19:44:18Z</t>
  </si>
  <si>
    <t>2019-01-22T15:14:06Z</t>
  </si>
  <si>
    <t>2013-05-06T01:20:30Z</t>
  </si>
  <si>
    <t>2009-02-22T00:47:56Z</t>
  </si>
  <si>
    <t>2019-09-06T20:00:14Z</t>
  </si>
  <si>
    <t>2020-11-22T17:07:07Z</t>
  </si>
  <si>
    <t>2016-02-02T21:21:21Z</t>
  </si>
  <si>
    <t>2020-07-23T00:45:14Z</t>
  </si>
  <si>
    <t>2020-11-03T16:31:07Z</t>
  </si>
  <si>
    <t>2019-04-06T07:57:03Z</t>
  </si>
  <si>
    <t>2016-06-01T13:49:08Z</t>
  </si>
  <si>
    <t>2017-10-04T15:36:47Z</t>
  </si>
  <si>
    <t>2014-12-16T07:30:02Z</t>
  </si>
  <si>
    <t>2020-11-12T21:23:35Z</t>
  </si>
  <si>
    <t>2012-07-12T01:29:12Z</t>
  </si>
  <si>
    <t>2020-03-25T16:00:00Z</t>
  </si>
  <si>
    <t>2012-07-26T00:44:02Z</t>
  </si>
  <si>
    <t>2020-06-15T13:14:19Z</t>
  </si>
  <si>
    <t>2021-01-05T13:00:24Z</t>
  </si>
  <si>
    <t>2013-07-06T18:12:43Z</t>
  </si>
  <si>
    <t>2021-01-06T15:00:10Z</t>
  </si>
  <si>
    <t>2014-10-27T22:24:24Z</t>
  </si>
  <si>
    <t>2020-06-17T12:46:09Z</t>
  </si>
  <si>
    <t>2011-12-01T20:24:14Z</t>
  </si>
  <si>
    <t>2017-10-24T19:01:49Z</t>
  </si>
  <si>
    <t>2019-01-25T20:26:23Z</t>
  </si>
  <si>
    <t>2016-03-23T00:04:35Z</t>
  </si>
  <si>
    <t>2021-01-28T00:24:03Z</t>
  </si>
  <si>
    <t>2015-06-09T16:18:34Z</t>
  </si>
  <si>
    <t>2020-06-22T17:43:02Z</t>
  </si>
  <si>
    <t>2021-06-15T04:00:09Z</t>
  </si>
  <si>
    <t>2020-07-31T05:23:46Z</t>
  </si>
  <si>
    <t>2019-09-09T14:22:13Z</t>
  </si>
  <si>
    <t>2020-07-29T15:25:01Z</t>
  </si>
  <si>
    <t>2021-04-08T15:57:15Z</t>
  </si>
  <si>
    <t>2021-04-13T16:05:51Z</t>
  </si>
  <si>
    <t>2021-04-07T00:38:50Z</t>
  </si>
  <si>
    <t>2020-10-10T17:04:47Z</t>
  </si>
  <si>
    <t>2021-03-11T00:36:31Z</t>
  </si>
  <si>
    <t>2020-07-24T16:12:53Z</t>
  </si>
  <si>
    <t>2021-04-01T03:10:58Z</t>
  </si>
  <si>
    <t>2009-02-19T05:13:38Z</t>
  </si>
  <si>
    <t>2011-07-11T12:36:04Z</t>
  </si>
  <si>
    <t>2011-01-31T13:20:54Z</t>
  </si>
  <si>
    <t>2021-05-20T05:43:09Z</t>
  </si>
  <si>
    <t>2021-03-25T14:55:48Z</t>
  </si>
  <si>
    <t>2009-09-20T14:26:06Z</t>
  </si>
  <si>
    <t>2009-02-19T01:00:06Z</t>
  </si>
  <si>
    <t>2009-02-19T11:59:52Z</t>
  </si>
  <si>
    <t>2020-02-11T14:21:39Z</t>
  </si>
  <si>
    <t>2021-03-23T15:17:21Z</t>
  </si>
  <si>
    <t>2015-11-06T12:15:51Z</t>
  </si>
  <si>
    <t>2020-10-07T15:43:18Z</t>
  </si>
  <si>
    <t>2021-04-12T16:21:50Z</t>
  </si>
  <si>
    <t>2021-03-19T14:15:19Z</t>
  </si>
  <si>
    <t>2021-01-28T23:18:38Z</t>
  </si>
  <si>
    <t>2020-11-10T18:29:49Z</t>
  </si>
  <si>
    <t>2016-04-08T19:22:21Z</t>
  </si>
  <si>
    <t>2016-08-05T19:56:55Z</t>
  </si>
  <si>
    <t>2021-04-21T06:05:16Z</t>
  </si>
  <si>
    <t>2021-05-20T05:45:25Z</t>
  </si>
  <si>
    <t>2012-01-03T20:37:55Z</t>
  </si>
  <si>
    <t>2019-09-11T16:38:21Z</t>
  </si>
  <si>
    <t>2021-02-02T19:00:09Z</t>
  </si>
  <si>
    <t>2020-06-15T16:52:34Z</t>
  </si>
  <si>
    <t>2020-09-03T11:59:52Z</t>
  </si>
  <si>
    <t>2015-09-10T17:50:11Z</t>
  </si>
  <si>
    <t>2015-03-26T03:48:10Z</t>
  </si>
  <si>
    <t>2014-09-26T23:51:08Z</t>
  </si>
  <si>
    <t>2016-01-18T16:44:57Z</t>
  </si>
  <si>
    <t>2010-01-20T20:18:14Z</t>
  </si>
  <si>
    <t>2021-07-31T13:44:58Z</t>
  </si>
  <si>
    <t>2010-01-06T17:23:49Z</t>
  </si>
  <si>
    <t>2011-09-29T20:35:07Z</t>
  </si>
  <si>
    <t>2015-02-08T17:58:17Z</t>
  </si>
  <si>
    <t>2021-08-06T12:44:12Z</t>
  </si>
  <si>
    <t>2009-03-24T15:05:27Z</t>
  </si>
  <si>
    <t>2015-09-01T01:43:20Z</t>
  </si>
  <si>
    <t>2014-06-27T12:39:16Z</t>
  </si>
  <si>
    <t>2011-07-04T02:04:49Z</t>
  </si>
  <si>
    <t>2011-08-23T17:13:23Z</t>
  </si>
  <si>
    <t>2010-03-30T19:56:46Z</t>
  </si>
  <si>
    <t>2013-12-26T02:48:37Z</t>
  </si>
  <si>
    <t>2013-06-05T17:46:47Z</t>
  </si>
  <si>
    <t>2021-07-05T15:40:21Z</t>
  </si>
  <si>
    <t>2021-08-26T15:05:39Z</t>
  </si>
  <si>
    <t>2020-07-12T20:02:03Z</t>
  </si>
  <si>
    <t>2013-06-27T16:07:46Z</t>
  </si>
  <si>
    <t>2012-09-11T16:45:13Z</t>
  </si>
  <si>
    <t>2021-08-22T12:38:11Z</t>
  </si>
  <si>
    <t>2016-08-16T01:53:01Z</t>
  </si>
  <si>
    <t>2015-10-22T13:01:24Z</t>
  </si>
  <si>
    <t>2012-08-10T11:39:35Z</t>
  </si>
  <si>
    <t>2015-01-13T18:37:14Z</t>
  </si>
  <si>
    <t>2021-09-12T10:29:54Z</t>
  </si>
  <si>
    <t>2009-04-11T10:34:30Z</t>
  </si>
  <si>
    <t>2012-11-22T09:12:58Z</t>
  </si>
  <si>
    <t>2019-02-23T13:47:24Z</t>
  </si>
  <si>
    <t>2018-09-28T14:10:17Z</t>
  </si>
  <si>
    <t>2018-11-28T06:16:04Z</t>
  </si>
  <si>
    <t>2007-06-03T11:42:03Z</t>
  </si>
  <si>
    <t>2019-02-09T15:57:44Z</t>
  </si>
  <si>
    <t>2019-02-22T18:02:05Z</t>
  </si>
  <si>
    <t>2019-02-19T13:58:00Z</t>
  </si>
  <si>
    <t>2018-12-21T19:28:49Z</t>
  </si>
  <si>
    <t>2019-01-31T19:45:00Z</t>
  </si>
  <si>
    <t>2019-02-10T15:00:05Z</t>
  </si>
  <si>
    <t>2018-12-15T14:33:53Z</t>
  </si>
  <si>
    <t>2019-02-21T11:28:42Z</t>
  </si>
  <si>
    <t>2008-11-14T00:43:06Z</t>
  </si>
  <si>
    <t>2018-05-31T05:03:21Z</t>
  </si>
  <si>
    <t>2017-02-14T23:00:25Z</t>
  </si>
  <si>
    <t>2012-06-27T22:07:37Z</t>
  </si>
  <si>
    <t>2011-10-04T13:57:29Z</t>
  </si>
  <si>
    <t>2009-08-18T11:51:14Z</t>
  </si>
  <si>
    <t>2020-03-15T22:30:01Z</t>
  </si>
  <si>
    <t>2013-08-14T15:14:08Z</t>
  </si>
  <si>
    <t>2020-07-17T23:32:35Z</t>
  </si>
  <si>
    <t>2016-07-04T09:11:53Z</t>
  </si>
  <si>
    <t>2016-05-19T06:40:00Z</t>
  </si>
  <si>
    <t>2018-07-13T14:30:04Z</t>
  </si>
  <si>
    <t>2015-09-19T01:02:56Z</t>
  </si>
  <si>
    <t>2014-03-21T01:50:31Z</t>
  </si>
  <si>
    <t>2013-03-14T17:17:26Z</t>
  </si>
  <si>
    <t>2015-08-07T00:37:57Z</t>
  </si>
  <si>
    <t>2020-06-23T16:17:49Z</t>
  </si>
  <si>
    <t>2020-04-23T22:05:52Z</t>
  </si>
  <si>
    <t>2018-03-27T19:46:25Z</t>
  </si>
  <si>
    <t>2020-10-06T19:38:57Z</t>
  </si>
  <si>
    <t>2020-01-16T19:17:05Z</t>
  </si>
  <si>
    <t>2016-02-16T20:31:42Z</t>
  </si>
  <si>
    <t>2016-09-10T17:00:03Z</t>
  </si>
  <si>
    <t>2013-02-25T17:53:35Z</t>
  </si>
  <si>
    <t>2018-06-24T17:12:38Z</t>
  </si>
  <si>
    <t>2012-10-18T22:44:27Z</t>
  </si>
  <si>
    <t>2019-07-20T17:43:45Z</t>
  </si>
  <si>
    <t>2020-04-18T21:13:03Z</t>
  </si>
  <si>
    <t>2019-04-29T03:20:15Z</t>
  </si>
  <si>
    <t>2014-04-17T01:10:16Z</t>
  </si>
  <si>
    <t>2015-07-31T20:43:54Z</t>
  </si>
  <si>
    <t>2020-05-02T22:20:14Z</t>
  </si>
  <si>
    <t>2021-01-02T19:00:08Z</t>
  </si>
  <si>
    <t>2013-04-17T13:30:17Z</t>
  </si>
  <si>
    <t>2017-03-06T15:50:01Z</t>
  </si>
  <si>
    <t>2014-12-09T20:48:08Z</t>
  </si>
  <si>
    <t>2013-11-10T16:00:01Z</t>
  </si>
  <si>
    <t>2020-01-30T23:08:17Z</t>
  </si>
  <si>
    <t>2020-09-29T12:44:21Z</t>
  </si>
  <si>
    <t>2020-07-06T18:34:11Z</t>
  </si>
  <si>
    <t>2021-03-01T20:00:42Z</t>
  </si>
  <si>
    <t>2019-03-17T21:22:33Z</t>
  </si>
  <si>
    <t>2019-03-24T12:37:01Z</t>
  </si>
  <si>
    <t>2019-10-05T12:30:01Z</t>
  </si>
  <si>
    <t>2020-01-06T19:48:25Z</t>
  </si>
  <si>
    <t>2015-01-26T11:26:56Z</t>
  </si>
  <si>
    <t>2011-11-03T04:33:55Z</t>
  </si>
  <si>
    <t>2015-11-06T12:14:55Z</t>
  </si>
  <si>
    <t>2019-01-30T15:50:04Z</t>
  </si>
  <si>
    <t>2014-10-21T21:33:17Z</t>
  </si>
  <si>
    <t>2015-01-05T10:01:41Z</t>
  </si>
  <si>
    <t>2016-10-03T18:14:24Z</t>
  </si>
  <si>
    <t>2018-12-17T17:06:40Z</t>
  </si>
  <si>
    <t>2018-11-10T19:00:04Z</t>
  </si>
  <si>
    <t>2014-08-15T21:06:36Z</t>
  </si>
  <si>
    <t>2012-03-21T21:19:01Z</t>
  </si>
  <si>
    <t>2017-05-04T08:07:07Z</t>
  </si>
  <si>
    <t>2019-07-25T13:01:15Z</t>
  </si>
  <si>
    <t>2015-07-06T08:20:25Z</t>
  </si>
  <si>
    <t>2018-05-14T09:47:05Z</t>
  </si>
  <si>
    <t>2012-03-01T21:25:13Z</t>
  </si>
  <si>
    <t>2016-01-18T16:47:36Z</t>
  </si>
  <si>
    <t>2020-10-30T20:04:37Z</t>
  </si>
  <si>
    <t>2020-01-21T15:53:12Z</t>
  </si>
  <si>
    <t>2020-05-27T01:37:39Z</t>
  </si>
  <si>
    <t>2012-05-16T22:15:10Z</t>
  </si>
  <si>
    <t>2020-06-27T02:32:43Z</t>
  </si>
  <si>
    <t>2020-04-23T16:25:28Z</t>
  </si>
  <si>
    <t>2021-09-04T16:11:47Z</t>
  </si>
  <si>
    <t>2017-07-03T21:50:29Z</t>
  </si>
  <si>
    <t>2021-09-03T21:42:46Z</t>
  </si>
  <si>
    <t>2018-03-20T15:55:34Z</t>
  </si>
  <si>
    <t>2016-09-27T16:52:50Z</t>
  </si>
  <si>
    <t>2021-08-27T13:11:22Z</t>
  </si>
  <si>
    <t>2021-09-07T01:46:09Z</t>
  </si>
  <si>
    <t>2019-12-09T17:40:24Z</t>
  </si>
  <si>
    <t>2015-03-25T14:24:01Z</t>
  </si>
  <si>
    <t>2021-08-28T15:25:16Z</t>
  </si>
  <si>
    <t>2019-10-24T20:59:58Z</t>
  </si>
  <si>
    <t>2021-08-26T19:30:06Z</t>
  </si>
  <si>
    <t>2017-08-18T01:10:48Z</t>
  </si>
  <si>
    <t>2021-03-13T19:07:11Z</t>
  </si>
  <si>
    <t>2015-05-19T02:04:50Z</t>
  </si>
  <si>
    <t>2013-11-19T13:35:30Z</t>
  </si>
  <si>
    <t>2013-11-08T17:00:08Z</t>
  </si>
  <si>
    <t>2019-11-25T16:14:07Z</t>
  </si>
  <si>
    <t>2015-10-31T11:25:59Z</t>
  </si>
  <si>
    <t>2015-11-18T02:27:50Z</t>
  </si>
  <si>
    <t>2014-07-05T03:45:17Z</t>
  </si>
  <si>
    <t>2015-08-07T15:16:45Z</t>
  </si>
  <si>
    <t>2013-12-03T22:22:49Z</t>
  </si>
  <si>
    <t>2016-02-02T00:13:26Z</t>
  </si>
  <si>
    <t>2015-09-06T03:55:13Z</t>
  </si>
  <si>
    <t>2020-05-14T02:37:42Z</t>
  </si>
  <si>
    <t>2014-05-26T13:17:07Z</t>
  </si>
  <si>
    <t>2016-12-22T21:31:03Z</t>
  </si>
  <si>
    <t>2019-05-01T23:30:02Z</t>
  </si>
  <si>
    <t>2014-05-11T22:03:32Z</t>
  </si>
  <si>
    <t>2012-07-27T21:51:42Z</t>
  </si>
  <si>
    <t>2020-09-20T23:30:12Z</t>
  </si>
  <si>
    <t>2015-06-30T19:43:38Z</t>
  </si>
  <si>
    <t>2013-07-06T07:48:20Z</t>
  </si>
  <si>
    <t>2013-03-25T14:09:37Z</t>
  </si>
  <si>
    <t>2017-02-09T09:31:40Z</t>
  </si>
  <si>
    <t>2011-10-29T18:14:39Z</t>
  </si>
  <si>
    <t>2018-09-15T22:12:18Z</t>
  </si>
  <si>
    <t>2021-01-06T16:01:57Z</t>
  </si>
  <si>
    <t>2020-01-13T18:23:06Z</t>
  </si>
  <si>
    <t>2018-01-30T21:10:15Z</t>
  </si>
  <si>
    <t>2019-10-14T18:48:04Z</t>
  </si>
  <si>
    <t>2020-06-05T15:19:51Z</t>
  </si>
  <si>
    <t>2020-06-20T00:13:02Z</t>
  </si>
  <si>
    <t>2020-08-09T05:46:05Z</t>
  </si>
  <si>
    <t>2020-09-04T22:23:55Z</t>
  </si>
  <si>
    <t>2020-09-20T16:14:19Z</t>
  </si>
  <si>
    <t>2020-07-26T20:21:33Z</t>
  </si>
  <si>
    <t>2020-07-19T20:51:07Z</t>
  </si>
  <si>
    <t>2020-09-07T00:44:43Z</t>
  </si>
  <si>
    <t>2020-06-24T13:47:47Z</t>
  </si>
  <si>
    <t>2021-02-08T22:26:06Z</t>
  </si>
  <si>
    <t>2012-09-26T17:22:33Z</t>
  </si>
  <si>
    <t>2015-07-31T00:31:08Z</t>
  </si>
  <si>
    <t>2018-09-18T22:35:21Z</t>
  </si>
  <si>
    <t>2018-09-03T08:40:04Z</t>
  </si>
  <si>
    <t>2020-06-19T18:53:23Z</t>
  </si>
  <si>
    <t>2020-10-19T16:02:33Z</t>
  </si>
  <si>
    <t>2016-05-24T02:19:43Z</t>
  </si>
  <si>
    <t>2017-05-22T14:55:56Z</t>
  </si>
  <si>
    <t>2015-10-30T06:25:17Z</t>
  </si>
  <si>
    <t>2017-05-05T20:53:29Z</t>
  </si>
  <si>
    <t>2014-06-10T01:58:54Z</t>
  </si>
  <si>
    <t>2015-12-22T23:53:44Z</t>
  </si>
  <si>
    <t>2020-07-03T18:26:35Z</t>
  </si>
  <si>
    <t>2017-09-07T22:34:24Z</t>
  </si>
  <si>
    <t>2019-08-15T20:41:05Z</t>
  </si>
  <si>
    <t>2017-09-01T03:42:28Z</t>
  </si>
  <si>
    <t>2020-09-10T17:01:29Z</t>
  </si>
  <si>
    <t>2017-04-02T22:44:09Z</t>
  </si>
  <si>
    <t>2017-06-08T14:45:45Z</t>
  </si>
  <si>
    <t>2020-04-21T01:41:29Z</t>
  </si>
  <si>
    <t>2018-07-19T22:30:06Z</t>
  </si>
  <si>
    <t>2018-04-06T19:07:46Z</t>
  </si>
  <si>
    <t>2019-12-22T10:00:10Z</t>
  </si>
  <si>
    <t>2016-04-19T00:08:03Z</t>
  </si>
  <si>
    <t>2020-04-23T19:52:23Z</t>
  </si>
  <si>
    <t>2018-10-15T14:45:45Z</t>
  </si>
  <si>
    <t>2017-01-31T19:14:31Z</t>
  </si>
  <si>
    <t>2014-10-02T12:45:14Z</t>
  </si>
  <si>
    <t>2013-04-20T08:36:47Z</t>
  </si>
  <si>
    <t>2014-02-27T00:38:25Z</t>
  </si>
  <si>
    <t>2017-06-03T20:39:56Z</t>
  </si>
  <si>
    <t>2020-03-20T20:11:38Z</t>
  </si>
  <si>
    <t>2019-12-17T17:45:32Z</t>
  </si>
  <si>
    <t>2018-11-06T22:46:11Z</t>
  </si>
  <si>
    <t>2020-10-16T22:00:23Z</t>
  </si>
  <si>
    <t>2014-05-22T11:02:14Z</t>
  </si>
  <si>
    <t>2014-06-18T17:26:32Z</t>
  </si>
  <si>
    <t>2020-06-07T03:24:27Z</t>
  </si>
  <si>
    <t>2021-06-09T10:58:27Z</t>
  </si>
  <si>
    <t>2013-11-06T17:07:35Z</t>
  </si>
  <si>
    <t>2015-06-09T16:09:53Z</t>
  </si>
  <si>
    <t>2020-04-28T21:18:20Z</t>
  </si>
  <si>
    <t>2017-02-21T07:12:37Z</t>
  </si>
  <si>
    <t>2017-10-13T00:42:48Z</t>
  </si>
  <si>
    <t>2016-05-31T13:44:23Z</t>
  </si>
  <si>
    <t>2021-03-04T12:57:00Z</t>
  </si>
  <si>
    <t>2013-09-17T12:06:46Z</t>
  </si>
  <si>
    <t>2018-04-19T23:53:37Z</t>
  </si>
  <si>
    <t>2018-10-30T09:46:48Z</t>
  </si>
  <si>
    <t>2018-07-27T04:19:39Z</t>
  </si>
  <si>
    <t>2014-04-14T16:43:01Z</t>
  </si>
  <si>
    <t>2020-05-31T17:00:10Z</t>
  </si>
  <si>
    <t>2019-03-21T12:24:59Z</t>
  </si>
  <si>
    <t>2014-04-14T16:13:08Z</t>
  </si>
  <si>
    <t>2017-11-02T07:36:00Z</t>
  </si>
  <si>
    <t>2021-03-04T12:56:13Z</t>
  </si>
  <si>
    <t>2020-05-16T02:35:32Z</t>
  </si>
  <si>
    <t>2021-07-15T10:39:00Z</t>
  </si>
  <si>
    <t>2018-05-07T19:37:54Z</t>
  </si>
  <si>
    <t>2015-07-16T19:06:13Z</t>
  </si>
  <si>
    <t>2014-04-16T23:03:40Z</t>
  </si>
  <si>
    <t>2020-05-02T20:54:06Z</t>
  </si>
  <si>
    <t>2014-10-21T20:35:48Z</t>
  </si>
  <si>
    <t>2016-08-10T13:39:07Z</t>
  </si>
  <si>
    <t>2018-03-17T04:23:09Z</t>
  </si>
  <si>
    <t>2019-12-05T20:11:11Z</t>
  </si>
  <si>
    <t>2015-11-15T21:02:37Z</t>
  </si>
  <si>
    <t>2010-10-05T23:30:41Z</t>
  </si>
  <si>
    <t>2019-10-03T21:03:25Z</t>
  </si>
  <si>
    <t>2017-02-03T19:01:32Z</t>
  </si>
  <si>
    <t>2017-04-01T16:30:10Z</t>
  </si>
  <si>
    <t>2015-06-04T15:44:32Z</t>
  </si>
  <si>
    <t>2020-09-09T16:03:02Z</t>
  </si>
  <si>
    <t>2016-06-28T20:15:12Z</t>
  </si>
  <si>
    <t>2020-04-06T09:44:00Z</t>
  </si>
  <si>
    <t>2020-01-20T15:25:09Z</t>
  </si>
  <si>
    <t>2018-02-06T20:49:00Z</t>
  </si>
  <si>
    <t>2020-09-14T00:32:51Z</t>
  </si>
  <si>
    <t>2018-02-10T07:30:00Z</t>
  </si>
  <si>
    <t>2019-09-09T11:20:52Z</t>
  </si>
  <si>
    <t>2020-07-30T04:00:02Z</t>
  </si>
  <si>
    <t>2020-03-22T05:00:13Z</t>
  </si>
  <si>
    <t>2019-04-26T19:00:02Z</t>
  </si>
  <si>
    <t>2019-12-20T21:43:21Z</t>
  </si>
  <si>
    <t>2010-11-12T22:56:57Z</t>
  </si>
  <si>
    <t>2021-08-13T22:04:32Z</t>
  </si>
  <si>
    <t>2021-02-14T02:16:51Z</t>
  </si>
  <si>
    <t>2021-08-03T19:43:25Z</t>
  </si>
  <si>
    <t>2021-08-05T15:50:34Z</t>
  </si>
  <si>
    <t>2020-11-16T18:26:36Z</t>
  </si>
  <si>
    <t>2017-04-19T16:27:50Z</t>
  </si>
  <si>
    <t>2021-08-26T21:34:03Z</t>
  </si>
  <si>
    <t>2021-08-10T13:36:50Z</t>
  </si>
  <si>
    <t>2019-02-27T17:19:07Z</t>
  </si>
  <si>
    <t>2018-10-30T18:00:06Z</t>
  </si>
  <si>
    <t>2021-09-14T13:19:00Z</t>
  </si>
  <si>
    <t>2020-05-17T20:01:41Z</t>
  </si>
  <si>
    <t>2021-08-26T19:42:45Z</t>
  </si>
  <si>
    <t>2021-08-13T20:42:14Z</t>
  </si>
  <si>
    <t>2021-09-09T16:48:13Z</t>
  </si>
  <si>
    <t>2020-06-07T23:24:36Z</t>
  </si>
  <si>
    <t>2020-12-01T22:44:37Z</t>
  </si>
  <si>
    <t>2021-08-13T16:09:30Z</t>
  </si>
  <si>
    <t>2014-10-28T21:20:47Z</t>
  </si>
  <si>
    <t>2020-07-27T01:00:11Z</t>
  </si>
  <si>
    <t>2021-08-13T14:34:19Z</t>
  </si>
  <si>
    <t>2021-07-31T00:08:51Z</t>
  </si>
  <si>
    <t>2020-07-06T22:17:53Z</t>
  </si>
  <si>
    <t>2021-09-10T18:45:01Z</t>
  </si>
  <si>
    <t>2012-07-06T16:34:56Z</t>
  </si>
  <si>
    <t>2020-09-17T14:00:11Z</t>
  </si>
  <si>
    <t>2018-05-07T21:09:03Z</t>
  </si>
  <si>
    <t>2019-02-28T01:30:47Z</t>
  </si>
  <si>
    <t>2011-10-04T16:22:51Z</t>
  </si>
  <si>
    <t>2017-05-08T16:31:36Z</t>
  </si>
  <si>
    <t>2020-03-23T00:45:31Z</t>
  </si>
  <si>
    <t>2020-11-27T17:51:33Z</t>
  </si>
  <si>
    <t>2020-03-17T03:15:11Z</t>
  </si>
  <si>
    <t>2020-05-16T19:59:17Z</t>
  </si>
  <si>
    <t>2021-09-09T18:50:55Z</t>
  </si>
  <si>
    <t>2018-01-17T09:05:57Z</t>
  </si>
  <si>
    <t>2021-02-18T17:04:39Z</t>
  </si>
  <si>
    <t>2017-03-31T21:00:01Z</t>
  </si>
  <si>
    <t>2020-07-17T02:00:51Z</t>
  </si>
  <si>
    <t>2021-09-07T16:32:46Z</t>
  </si>
  <si>
    <t>2021-02-11T17:01:27Z</t>
  </si>
  <si>
    <t>2020-05-02T12:00:09Z</t>
  </si>
  <si>
    <t>2020-07-12T18:05:52Z</t>
  </si>
  <si>
    <t>2020-06-07T00:05:47Z</t>
  </si>
  <si>
    <t>2017-11-28T17:43:28Z</t>
  </si>
  <si>
    <t>2020-04-08T07:00:07Z</t>
  </si>
  <si>
    <t>2021-09-06T21:33:50Z</t>
  </si>
  <si>
    <t>2020-06-14T20:52:33Z</t>
  </si>
  <si>
    <t>2020-04-20T16:30:10Z</t>
  </si>
  <si>
    <t>2020-07-03T05:00:16Z</t>
  </si>
  <si>
    <t>2017-10-30T19:20:01Z</t>
  </si>
  <si>
    <t>2021-02-26T08:14:24Z</t>
  </si>
  <si>
    <t>2020-01-30T09:02:45Z</t>
  </si>
  <si>
    <t>2021-05-06T17:28:40Z</t>
  </si>
  <si>
    <t>2020-09-28T20:20:08Z</t>
  </si>
  <si>
    <t>2020-11-03T11:39:32Z</t>
  </si>
  <si>
    <t>2020-11-30T05:24:59Z</t>
  </si>
  <si>
    <t>2020-08-14T16:54:56Z</t>
  </si>
  <si>
    <t>2020-05-25T16:58:59Z</t>
  </si>
  <si>
    <t>2017-03-06T19:10:28Z</t>
  </si>
  <si>
    <t>2020-05-18T03:37:18Z</t>
  </si>
  <si>
    <t>2015-04-30T11:49:29Z</t>
  </si>
  <si>
    <t>2020-07-31T20:00:00Z</t>
  </si>
  <si>
    <t>2015-12-17T22:29:44Z</t>
  </si>
  <si>
    <t>2020-07-29T08:50:59Z</t>
  </si>
  <si>
    <t>2020-07-28T04:44:01Z</t>
  </si>
  <si>
    <t>2019-08-04T22:10:34Z</t>
  </si>
  <si>
    <t>2020-12-16T16:19:04Z</t>
  </si>
  <si>
    <t>2017-12-07T22:09:13Z</t>
  </si>
  <si>
    <t>2018-10-26T15:33:20Z</t>
  </si>
  <si>
    <t>2021-08-19T14:59:42Z</t>
  </si>
  <si>
    <t>2020-10-08T17:00:24Z</t>
  </si>
  <si>
    <t>2020-11-24T14:30:09Z</t>
  </si>
  <si>
    <t>2021-02-14T20:19:13Z</t>
  </si>
  <si>
    <t>2019-12-05T18:00:10Z</t>
  </si>
  <si>
    <t>2016-08-21T18:05:42Z</t>
  </si>
  <si>
    <t>2021-05-25T14:23:49Z</t>
  </si>
  <si>
    <t>2019-04-24T13:18:29Z</t>
  </si>
  <si>
    <t>2021-06-21T11:00:04Z</t>
  </si>
  <si>
    <t>2021-06-02T14:28:45Z</t>
  </si>
  <si>
    <t>2020-05-02T14:25:06Z</t>
  </si>
  <si>
    <t>2021-08-31T15:20:24Z</t>
  </si>
  <si>
    <t>2015-08-16T03:07:21Z</t>
  </si>
  <si>
    <t>2019-12-08T15:45:01Z</t>
  </si>
  <si>
    <t>2016-08-15T05:11:24Z</t>
  </si>
  <si>
    <t>2019-11-03T22:35:56Z</t>
  </si>
  <si>
    <t>2020-04-15T21:41:20Z</t>
  </si>
  <si>
    <t>2020-06-18T01:29:21Z</t>
  </si>
  <si>
    <t>2017-09-02T03:16:59Z</t>
  </si>
  <si>
    <t>2020-11-12T12:10:23Z</t>
  </si>
  <si>
    <t>2019-08-01T15:58:56Z</t>
  </si>
  <si>
    <t>2020-05-21T07:34:44Z</t>
  </si>
  <si>
    <t>2018-08-31T08:39:49Z</t>
  </si>
  <si>
    <t>2020-04-17T23:07:30Z</t>
  </si>
  <si>
    <t>2013-05-11T08:43:42Z</t>
  </si>
  <si>
    <t>2015-03-14T09:54:07Z</t>
  </si>
  <si>
    <t>2018-11-08T23:28:25Z</t>
  </si>
  <si>
    <t>2017-06-01T05:07:47Z</t>
  </si>
  <si>
    <t>2020-04-24T17:54:07Z</t>
  </si>
  <si>
    <t>2017-08-30T17:16:51Z</t>
  </si>
  <si>
    <t>2020-03-11T14:56:30Z</t>
  </si>
  <si>
    <t>2018-05-29T18:46:50Z</t>
  </si>
  <si>
    <t>2018-05-29T19:00:06Z</t>
  </si>
  <si>
    <t>2018-09-14T19:33:51Z</t>
  </si>
  <si>
    <t>2020-07-18T05:00:07Z</t>
  </si>
  <si>
    <t>2018-01-12T21:40:36Z</t>
  </si>
  <si>
    <t>2013-10-25T11:54:26Z</t>
  </si>
  <si>
    <t>2015-06-26T21:49:38Z</t>
  </si>
  <si>
    <t>2017-04-04T15:37:44Z</t>
  </si>
  <si>
    <t>2014-04-11T15:59:16Z</t>
  </si>
  <si>
    <t>2014-02-18T12:10:46Z</t>
  </si>
  <si>
    <t>2011-09-28T08:48:53Z</t>
  </si>
  <si>
    <t>2012-10-31T02:26:32Z</t>
  </si>
  <si>
    <t>2014-08-26T01:03:28Z</t>
  </si>
  <si>
    <t>2014-12-04T18:45:25Z</t>
  </si>
  <si>
    <t>2014-04-30T16:40:14Z</t>
  </si>
  <si>
    <t>2013-02-07T14:46:40Z</t>
  </si>
  <si>
    <t>2014-04-01T20:27:37Z</t>
  </si>
  <si>
    <t>2012-09-05T15:11:19Z</t>
  </si>
  <si>
    <t>2013-10-15T10:04:11Z</t>
  </si>
  <si>
    <t>2013-02-07T14:46:10Z</t>
  </si>
  <si>
    <t>2017-05-15T21:04:48Z</t>
  </si>
  <si>
    <t>2013-06-18T14:59:04Z</t>
  </si>
  <si>
    <t>2018-08-15T14:08:22Z</t>
  </si>
  <si>
    <t>2013-06-20T11:57:33Z</t>
  </si>
  <si>
    <t>2012-12-05T20:05:40Z</t>
  </si>
  <si>
    <t>2013-02-07T14:47:19Z</t>
  </si>
  <si>
    <t>2013-04-03T03:24:58Z</t>
  </si>
  <si>
    <t>2015-04-16T19:50:11Z</t>
  </si>
  <si>
    <t>2013-06-20T05:24:13Z</t>
  </si>
  <si>
    <t>2017-08-01T18:21:01Z</t>
  </si>
  <si>
    <t>2015-09-12T00:11:04Z</t>
  </si>
  <si>
    <t>2017-05-15T21:42:09Z</t>
  </si>
  <si>
    <t>2017-05-26T20:53:27Z</t>
  </si>
  <si>
    <t>2013-11-30T15:42:45Z</t>
  </si>
  <si>
    <t>2011-09-28T10:23:14Z</t>
  </si>
  <si>
    <t>2017-10-16T19:42:58Z</t>
  </si>
  <si>
    <t>2012-03-19T02:10:49Z</t>
  </si>
  <si>
    <t>2016-02-08T18:34:27Z</t>
  </si>
  <si>
    <t>2012-11-21T21:26:54Z</t>
  </si>
  <si>
    <t>2013-06-20T11:46:49Z</t>
  </si>
  <si>
    <t>2019-04-05T17:00:07Z</t>
  </si>
  <si>
    <t>2018-03-29T15:07:35Z</t>
  </si>
  <si>
    <t>2019-02-27T21:58:09Z</t>
  </si>
  <si>
    <t>2015-09-10T21:45:13Z</t>
  </si>
  <si>
    <t>2017-11-28T22:35:43Z</t>
  </si>
  <si>
    <t>2018-03-30T19:02:07Z</t>
  </si>
  <si>
    <t>2018-01-05T17:11:17Z</t>
  </si>
  <si>
    <t>2017-12-11T15:14:18Z</t>
  </si>
  <si>
    <t>2013-06-28T05:58:04Z</t>
  </si>
  <si>
    <t>2018-10-23T17:16:55Z</t>
  </si>
  <si>
    <t>2018-06-07T15:04:07Z</t>
  </si>
  <si>
    <t>2015-08-19T21:55:54Z</t>
  </si>
  <si>
    <t>2013-11-21T03:16:21Z</t>
  </si>
  <si>
    <t>2015-02-06T19:17:42Z</t>
  </si>
  <si>
    <t>2020-09-09T17:56:41Z</t>
  </si>
  <si>
    <t>2020-04-17T16:29:50Z</t>
  </si>
  <si>
    <t>2020-11-23T17:30:01Z</t>
  </si>
  <si>
    <t>2021-05-15T16:30:06Z</t>
  </si>
  <si>
    <t>2018-07-13T16:19:10Z</t>
  </si>
  <si>
    <t>2020-03-27T15:00:13Z</t>
  </si>
  <si>
    <t>2020-05-25T22:00:13Z</t>
  </si>
  <si>
    <t>2018-02-22T15:56:18Z</t>
  </si>
  <si>
    <t>2017-04-04T15:54:16Z</t>
  </si>
  <si>
    <t>2020-05-06T23:21:52Z</t>
  </si>
  <si>
    <t>2018-03-19T19:52:03Z</t>
  </si>
  <si>
    <t>2019-06-17T19:20:17Z</t>
  </si>
  <si>
    <t>2019-07-10T15:35:22Z</t>
  </si>
  <si>
    <t>2020-04-27T13:37:09Z</t>
  </si>
  <si>
    <t>2019-06-11T13:56:21Z</t>
  </si>
  <si>
    <t>2017-12-27T15:46:02Z</t>
  </si>
  <si>
    <t>2019-09-29T16:14:50Z</t>
  </si>
  <si>
    <t>2020-08-08T22:35:37Z</t>
  </si>
  <si>
    <t>2021-03-30T15:18:36Z</t>
  </si>
  <si>
    <t>2021-05-27T14:15:12Z</t>
  </si>
  <si>
    <t>2020-09-14T16:42:01Z</t>
  </si>
  <si>
    <t>2020-07-20T20:25:57Z</t>
  </si>
  <si>
    <t>2020-06-01T18:33:10Z</t>
  </si>
  <si>
    <t>2017-12-24T16:08:55Z</t>
  </si>
  <si>
    <t>2021-04-26T11:02:24Z</t>
  </si>
  <si>
    <t>2021-03-04T22:06:26Z</t>
  </si>
  <si>
    <t>2021-04-07T23:01:25Z</t>
  </si>
  <si>
    <t>Play Video in Browser</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</si>
  <si>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</si>
  <si>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</si>
  <si>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</si>
  <si>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</si>
  <si>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</si>
  <si>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</si>
  <si>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</si>
  <si>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</si>
  <si>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</si>
  <si>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</si>
  <si>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</si>
  <si>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</si>
  <si>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</si>
  <si>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</si>
  <si>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</si>
  <si>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</si>
  <si>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</si>
  <si>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</si>
  <si>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</si>
  <si>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</si>
  <si>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</si>
  <si>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&lt;value&gt;Degree, ClusteringCoefficient, BrandesFastCentralities, EigenvectorCentrality, PageRank, OverallMetrics, GroupMetrics,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</si>
  <si>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&lt;value&gt;CalculateSentiment░True▓TextColumnIsOnEdgeWorksheet░True▓TextColumnName░Video1 Comment▓CountByGroup░True▓SkipSingleTerms░True▓WordsToSkip░0 1 2 3 4 5 6 7 8 9 39 a à â å ä ã ab aber able about across after ain't all almost als also am among an and any are aren't as at au auch auf aus avec b be because been bei beim bin bis br but by c can can't cannot com could could've couldn't d da damit dann das dass de dein deine deinem deinen deiner deines dem den denen denn der deren des des dessen di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href http https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quot r rather rt s said say says schon se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youtu youtube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t>
  </si>
  <si>
    <t>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t>
  </si>
  <si>
    <t>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</si>
  <si>
    <t>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t>
  </si>
  <si>
    <t xml:space="preserve">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t>
  </si>
  <si>
    <t>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t>
  </si>
  <si>
    <t xml:space="preserve">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t>
  </si>
  <si>
    <t>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t>
  </si>
  <si>
    <t>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t>
  </si>
  <si>
    <t>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t>
  </si>
  <si>
    <t>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t>
  </si>
  <si>
    <t>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&lt;IsEdgeColumn&gt;true&lt;/IsEdgeColumn&gt;
            &lt;StatusColumnName&gt;Video1 Comment&lt;/StatusColumnName&gt;
            &lt;TopTweetersMentionedRepliedTo&gt;false&lt;/TopTweetersMentionedRepliedTo&gt;
            &lt;NetworkTopItemsUserSettingsToCalculate&gt;
              &lt;NetworkTopItemsUserSettings&gt;
                &lt;NumberOfItemsToGet&gt;20&lt;/NumberOfItemsToGet&gt;
                &lt;WorksheetName&gt;Edges&lt;/WorksheetName&gt;
                &lt;TableName&gt;Edges&lt;/TableName&gt;
                &lt;ColumnName&gt;URLs In Both Video Comments&lt;/ColumnName&gt;
                &lt;Delimiter&gt;Space&lt;/Delimiter&gt;
              &lt;/NetworkTopItemsUserSettings&gt;
              &lt;NetworkTopItemsUserSettings&gt;
                &lt;NumberOfItemsToGet&gt;20&lt;/NumberOfItemsToGet&gt;
                &lt;WorksheetName&gt;Edges&lt;/WorksheetName&gt;
                &lt;TableName&gt;Edges&lt;/TableName&gt;
                &lt;ColumnName&gt;Domains In Both Video Comments&lt;/ColumnName&gt;
                &lt;Delimiter&gt;Space&lt;/Delimiter&gt;
              &lt;/NetworkTopItemsUserSettings&gt;
              &lt;NetworkTopItemsUserSettings&gt;
                &lt;NumberOfItemsToGet&gt;20&lt;/NumberOfItemsToGet&gt;
                &lt;WorksheetName&gt;Edges&lt;/WorksheetName&gt;
                &lt;TableName&gt;Edges&lt;/TableName&gt;
                &lt;ColumnName&gt;Hashtags In Both Video Comments&lt;/ColumnName&gt;
                &lt;Delimiter&gt;Space&lt;/Delimiter&gt;
              &lt;/NetworkTopItemsUserSettings&gt;
              &lt;NetworkTopItemsUserSettings&gt;
                &lt;NumberOfItemsToGet&gt;10&lt;/NumberOfItemsToGet&gt;
                &lt;WorksheetName&gt;Edges&lt;/WorksheetName&gt;
                &lt;TableName&gt;Edges&lt;/TableName&gt;
                &lt;ColumnName&gt;Shared Commenter&lt;/ColumnName&gt;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
  </si>
  <si>
    <t>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Shared Commenter&lt;/value&gt;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50 2147483647 Black True 269 Black 86 TopLeft Microsoft Sans Serif, 48pt Microsoft Sans Serif, 9pt&lt;/value&gt;
      &lt;/setting&gt;
      &lt;setting name="EdgeAlpha" serializeAs</t>
  </si>
  <si>
    <t>GraphSource░YouTubeVideo▓GraphTerm░Alfabetizacion digital▓ImportDescription░The graph represents the network of YouTube videos whose title, keywords, description, categories, or author's username contain "Alfabetizacion digital".  The network was obtained from YouTube on Tuesday, 14 September 2021 at 22:00 UTC.
The network was limited to 50 videos.
There is an edge for each pair of videos that have the same category.▓ImportSuggestedTitle░YouTube Video Alfabetizacion digital▓ImportSuggestedFileNameNoExtension░2021-09-14 21-59-58 NodeXL YouTube Video Alfabetizacion digital▓LayoutAlgorithm░The graph was laid out using the Harel-Koren Fast Multiscale layout algorithm.▓GraphDirectedness░The graph is directed.</t>
  </si>
  <si>
    <t>="String"&gt;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</si>
</sst>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1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270866"/>
        <c:axId val="4002339"/>
      </c:barChart>
      <c:catAx>
        <c:axId val="30270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2339"/>
        <c:crosses val="autoZero"/>
        <c:auto val="1"/>
        <c:lblOffset val="100"/>
        <c:noMultiLvlLbl val="0"/>
      </c:catAx>
      <c:valAx>
        <c:axId val="400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70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21052"/>
        <c:axId val="55754013"/>
      </c:barChart>
      <c:catAx>
        <c:axId val="360210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54013"/>
        <c:crosses val="autoZero"/>
        <c:auto val="1"/>
        <c:lblOffset val="100"/>
        <c:noMultiLvlLbl val="0"/>
      </c:catAx>
      <c:valAx>
        <c:axId val="55754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1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024070"/>
        <c:axId val="19781175"/>
      </c:barChart>
      <c:catAx>
        <c:axId val="320240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81175"/>
        <c:crosses val="autoZero"/>
        <c:auto val="1"/>
        <c:lblOffset val="100"/>
        <c:noMultiLvlLbl val="0"/>
      </c:catAx>
      <c:valAx>
        <c:axId val="19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2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12848"/>
        <c:axId val="58771313"/>
      </c:barChart>
      <c:catAx>
        <c:axId val="43812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71313"/>
        <c:crosses val="autoZero"/>
        <c:auto val="1"/>
        <c:lblOffset val="100"/>
        <c:noMultiLvlLbl val="0"/>
      </c:catAx>
      <c:valAx>
        <c:axId val="58771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79770"/>
        <c:axId val="62855883"/>
      </c:barChart>
      <c:catAx>
        <c:axId val="59179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55883"/>
        <c:crosses val="autoZero"/>
        <c:auto val="1"/>
        <c:lblOffset val="100"/>
        <c:noMultiLvlLbl val="0"/>
      </c:catAx>
      <c:valAx>
        <c:axId val="6285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832036"/>
        <c:axId val="58161733"/>
      </c:barChart>
      <c:catAx>
        <c:axId val="28832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161733"/>
        <c:crosses val="autoZero"/>
        <c:auto val="1"/>
        <c:lblOffset val="100"/>
        <c:noMultiLvlLbl val="0"/>
      </c:catAx>
      <c:valAx>
        <c:axId val="58161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3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93550"/>
        <c:axId val="13479903"/>
      </c:barChart>
      <c:catAx>
        <c:axId val="53693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79903"/>
        <c:crosses val="autoZero"/>
        <c:auto val="1"/>
        <c:lblOffset val="100"/>
        <c:noMultiLvlLbl val="0"/>
      </c:catAx>
      <c:valAx>
        <c:axId val="13479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210264"/>
        <c:axId val="18130329"/>
      </c:barChart>
      <c:catAx>
        <c:axId val="542102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30329"/>
        <c:crosses val="autoZero"/>
        <c:auto val="1"/>
        <c:lblOffset val="100"/>
        <c:noMultiLvlLbl val="0"/>
      </c:catAx>
      <c:valAx>
        <c:axId val="1813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0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55234"/>
        <c:axId val="59270515"/>
      </c:barChart>
      <c:catAx>
        <c:axId val="28955234"/>
        <c:scaling>
          <c:orientation val="minMax"/>
        </c:scaling>
        <c:axPos val="b"/>
        <c:delete val="1"/>
        <c:majorTickMark val="out"/>
        <c:minorTickMark val="none"/>
        <c:tickLblPos val="none"/>
        <c:crossAx val="59270515"/>
        <c:crosses val="autoZero"/>
        <c:auto val="1"/>
        <c:lblOffset val="100"/>
        <c:noMultiLvlLbl val="0"/>
      </c:catAx>
      <c:valAx>
        <c:axId val="59270515"/>
        <c:scaling>
          <c:orientation val="minMax"/>
        </c:scaling>
        <c:axPos val="l"/>
        <c:delete val="1"/>
        <c:majorTickMark val="out"/>
        <c:minorTickMark val="none"/>
        <c:tickLblPos val="none"/>
        <c:crossAx val="289552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1792" totalsRowShown="0" headerRowDxfId="107" dataDxfId="46">
  <autoFilter ref="A2:O1792"/>
  <tableColumns count="15">
    <tableColumn id="1" name="Vertex 1" dataDxfId="22"/>
    <tableColumn id="2" name="Vertex 2" dataDxfId="20"/>
    <tableColumn id="3" name="Color" dataDxfId="21"/>
    <tableColumn id="4" name="Width" dataDxfId="56"/>
    <tableColumn id="11" name="Style" dataDxfId="55"/>
    <tableColumn id="5" name="Opacity" dataDxfId="54"/>
    <tableColumn id="6" name="Visibility" dataDxfId="53"/>
    <tableColumn id="10" name="Label" dataDxfId="52"/>
    <tableColumn id="12" name="Label Text Color" dataDxfId="51"/>
    <tableColumn id="13" name="Label Font Size" dataDxfId="50"/>
    <tableColumn id="14" name="Reciprocated?" dataDxfId="49"/>
    <tableColumn id="7" name="ID" dataDxfId="48"/>
    <tableColumn id="9" name="Dynamic Filter" dataDxfId="47"/>
    <tableColumn id="8" name="Add Your Own Columns Here" dataDxfId="19"/>
    <tableColumn id="15" name="Relationship" dataDxfId="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N1059" totalsRowShown="0" headerRowDxfId="106" dataDxfId="23">
  <autoFilter ref="A2:AN1059"/>
  <tableColumns count="40">
    <tableColumn id="1" name="Vertex" dataDxfId="45"/>
    <tableColumn id="2" name="Color" dataDxfId="44"/>
    <tableColumn id="5" name="Shape" dataDxfId="43"/>
    <tableColumn id="6" name="Size" dataDxfId="42"/>
    <tableColumn id="4" name="Opacity" dataDxfId="5"/>
    <tableColumn id="7" name="Image File" dataDxfId="3"/>
    <tableColumn id="3" name="Visibility" dataDxfId="4"/>
    <tableColumn id="10" name="Label" dataDxfId="41"/>
    <tableColumn id="16" name="Label Fill Color" dataDxfId="40"/>
    <tableColumn id="9" name="Label Position" dataDxfId="17"/>
    <tableColumn id="8" name="Tooltip" dataDxfId="15"/>
    <tableColumn id="18" name="Layout Order" dataDxfId="16"/>
    <tableColumn id="13" name="X" dataDxfId="39"/>
    <tableColumn id="14" name="Y" dataDxfId="38"/>
    <tableColumn id="12" name="Locked?" dataDxfId="37"/>
    <tableColumn id="19" name="Polar R" dataDxfId="36"/>
    <tableColumn id="20" name="Polar Angle" dataDxfId="35"/>
    <tableColumn id="21" name="Degree" dataDxfId="34"/>
    <tableColumn id="22" name="In-Degree" dataDxfId="33"/>
    <tableColumn id="23" name="Out-Degree" dataDxfId="32"/>
    <tableColumn id="24" name="Betweenness Centrality" dataDxfId="31"/>
    <tableColumn id="25" name="Closeness Centrality" dataDxfId="30"/>
    <tableColumn id="26" name="Eigenvector Centrality" dataDxfId="29"/>
    <tableColumn id="15" name="PageRank" dataDxfId="28"/>
    <tableColumn id="27" name="Clustering Coefficient" dataDxfId="27"/>
    <tableColumn id="29" name="Reciprocated Vertex Pair Ratio" dataDxfId="26"/>
    <tableColumn id="11" name="ID" dataDxfId="25"/>
    <tableColumn id="28" name="Dynamic Filter" dataDxfId="24"/>
    <tableColumn id="17" name="Add Your Own Columns Here" dataDxfId="14"/>
    <tableColumn id="30" name="Title" dataDxfId="13"/>
    <tableColumn id="31" name="Description" dataDxfId="12"/>
    <tableColumn id="32" name="Tags" dataDxfId="11"/>
    <tableColumn id="33" name="Author" dataDxfId="10"/>
    <tableColumn id="34" name="Created Date (UTC)" dataDxfId="9"/>
    <tableColumn id="35" name="Views" dataDxfId="8"/>
    <tableColumn id="36" name="Comments" dataDxfId="7"/>
    <tableColumn id="37" name="Likes Count" dataDxfId="6"/>
    <tableColumn id="38" name="Dislikes Count" dataDxfId="2"/>
    <tableColumn id="39" name="Custom Menu Item Text" dataDxfId="1"/>
    <tableColumn id="40" name="Custom Menu Item Action"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05">
  <autoFilter ref="A2:X3"/>
  <tableColumns count="24">
    <tableColumn id="1" name="Group" dataDxfId="104"/>
    <tableColumn id="2" name="Vertex Color" dataDxfId="103"/>
    <tableColumn id="3" name="Vertex Shape" dataDxfId="102"/>
    <tableColumn id="22" name="Visibility" dataDxfId="101"/>
    <tableColumn id="4" name="Collapsed?"/>
    <tableColumn id="18" name="Label" dataDxfId="100"/>
    <tableColumn id="20" name="Collapsed X"/>
    <tableColumn id="21" name="Collapsed Y"/>
    <tableColumn id="6" name="ID" dataDxfId="99"/>
    <tableColumn id="19" name="Collapsed Properties" dataDxfId="98"/>
    <tableColumn id="5" name="Vertices" dataDxfId="97"/>
    <tableColumn id="7" name="Unique Edges" dataDxfId="96"/>
    <tableColumn id="8" name="Edges With Duplicates" dataDxfId="95"/>
    <tableColumn id="9" name="Total Edges" dataDxfId="94"/>
    <tableColumn id="10" name="Self-Loops" dataDxfId="93"/>
    <tableColumn id="24" name="Reciprocated Vertex Pair Ratio" dataDxfId="92"/>
    <tableColumn id="25" name="Reciprocated Edge Ratio" dataDxfId="91"/>
    <tableColumn id="11" name="Connected Components" dataDxfId="90"/>
    <tableColumn id="12" name="Single-Vertex Connected Components" dataDxfId="89"/>
    <tableColumn id="13" name="Maximum Vertices in a Connected Component" dataDxfId="88"/>
    <tableColumn id="14" name="Maximum Edges in a Connected Component" dataDxfId="87"/>
    <tableColumn id="15" name="Maximum Geodesic Distance (Diameter)" dataDxfId="86"/>
    <tableColumn id="16" name="Average Geodesic Distance" dataDxfId="85"/>
    <tableColumn id="17" name="Graph Density"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3" dataDxfId="82">
  <autoFilter ref="A1:C2"/>
  <tableColumns count="3">
    <tableColumn id="1" name="Group" dataDxfId="81"/>
    <tableColumn id="2" name="Vertex" dataDxfId="80"/>
    <tableColumn id="3" name="Vertex ID" dataDxfId="79"/>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78"/>
    <tableColumn id="2" name="Value" dataDxfId="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6"/>
    <tableColumn id="2" name="Degree Frequency" dataDxfId="75">
      <calculatedColumnFormula>COUNTIF(Vertices[Degree], "&gt;= " &amp; D2) - COUNTIF(Vertices[Degree], "&gt;=" &amp; D3)</calculatedColumnFormula>
    </tableColumn>
    <tableColumn id="3" name="In-Degree Bin" dataDxfId="74"/>
    <tableColumn id="4" name="In-Degree Frequency" dataDxfId="73">
      <calculatedColumnFormula>COUNTIF(Vertices[In-Degree], "&gt;= " &amp; F2) - COUNTIF(Vertices[In-Degree], "&gt;=" &amp; F3)</calculatedColumnFormula>
    </tableColumn>
    <tableColumn id="5" name="Out-Degree Bin" dataDxfId="72"/>
    <tableColumn id="6" name="Out-Degree Frequency" dataDxfId="71">
      <calculatedColumnFormula>COUNTIF(Vertices[Out-Degree], "&gt;= " &amp; H2) - COUNTIF(Vertices[Out-Degree], "&gt;=" &amp; H3)</calculatedColumnFormula>
    </tableColumn>
    <tableColumn id="7" name="Betweenness Centrality Bin" dataDxfId="70"/>
    <tableColumn id="8" name="Betweenness Centrality Frequency" dataDxfId="69">
      <calculatedColumnFormula>COUNTIF(Vertices[Betweenness Centrality], "&gt;= " &amp; J2) - COUNTIF(Vertices[Betweenness Centrality], "&gt;=" &amp; J3)</calculatedColumnFormula>
    </tableColumn>
    <tableColumn id="9" name="Closeness Centrality Bin" dataDxfId="68"/>
    <tableColumn id="10" name="Closeness Centrality Frequency" dataDxfId="67">
      <calculatedColumnFormula>COUNTIF(Vertices[Closeness Centrality], "&gt;= " &amp; L2) - COUNTIF(Vertices[Closeness Centrality], "&gt;=" &amp; L3)</calculatedColumnFormula>
    </tableColumn>
    <tableColumn id="11" name="Eigenvector Centrality Bin" dataDxfId="66"/>
    <tableColumn id="12" name="Eigenvector Centrality Frequency" dataDxfId="65">
      <calculatedColumnFormula>COUNTIF(Vertices[Eigenvector Centrality], "&gt;= " &amp; N2) - COUNTIF(Vertices[Eigenvector Centrality], "&gt;=" &amp; N3)</calculatedColumnFormula>
    </tableColumn>
    <tableColumn id="18" name="PageRank Bin" dataDxfId="64"/>
    <tableColumn id="17" name="PageRank Frequency" dataDxfId="63">
      <calculatedColumnFormula>COUNTIF(Vertices[Eigenvector Centrality], "&gt;= " &amp; P2) - COUNTIF(Vertices[Eigenvector Centrality], "&gt;=" &amp; P3)</calculatedColumnFormula>
    </tableColumn>
    <tableColumn id="13" name="Clustering Coefficient Bin" dataDxfId="62"/>
    <tableColumn id="14" name="Clustering Coefficient Frequency" dataDxfId="61">
      <calculatedColumnFormula>COUNTIF(Vertices[Clustering Coefficient], "&gt;= " &amp; R2) - COUNTIF(Vertices[Clustering Coefficient], "&gt;=" &amp; R3)</calculatedColumnFormula>
    </tableColumn>
    <tableColumn id="15" name="Dynamic Filter Bin" dataDxfId="60"/>
    <tableColumn id="16" name="Dynamic Filter Frequency" dataDxfId="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92"/>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s>
  <sheetData>
    <row r="1" spans="3:14" ht="15">
      <c r="C1" s="18" t="s">
        <v>39</v>
      </c>
      <c r="D1" s="19"/>
      <c r="E1" s="19"/>
      <c r="F1" s="19"/>
      <c r="G1" s="18"/>
      <c r="H1" s="16" t="s">
        <v>43</v>
      </c>
      <c r="I1" s="54"/>
      <c r="J1" s="54"/>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row>
    <row r="3" spans="1:15" ht="15" customHeight="1">
      <c r="A3" s="66" t="s">
        <v>178</v>
      </c>
      <c r="B3" s="66" t="s">
        <v>272</v>
      </c>
      <c r="C3" s="67"/>
      <c r="D3" s="68"/>
      <c r="E3" s="69"/>
      <c r="F3" s="70"/>
      <c r="G3" s="67"/>
      <c r="H3" s="71"/>
      <c r="I3" s="72"/>
      <c r="J3" s="72"/>
      <c r="K3" s="36"/>
      <c r="L3" s="73">
        <v>3</v>
      </c>
      <c r="M3" s="73"/>
      <c r="N3" s="74"/>
      <c r="O3" s="80" t="s">
        <v>1235</v>
      </c>
    </row>
    <row r="4" spans="1:15" ht="15" customHeight="1">
      <c r="A4" s="66" t="s">
        <v>178</v>
      </c>
      <c r="B4" s="66" t="s">
        <v>228</v>
      </c>
      <c r="C4" s="67"/>
      <c r="D4" s="68"/>
      <c r="E4" s="69"/>
      <c r="F4" s="70"/>
      <c r="G4" s="67"/>
      <c r="H4" s="71"/>
      <c r="I4" s="72"/>
      <c r="J4" s="72"/>
      <c r="K4" s="36"/>
      <c r="L4" s="79">
        <v>4</v>
      </c>
      <c r="M4" s="79"/>
      <c r="N4" s="74"/>
      <c r="O4" s="81" t="s">
        <v>1235</v>
      </c>
    </row>
    <row r="5" spans="1:15" ht="15">
      <c r="A5" s="66" t="s">
        <v>178</v>
      </c>
      <c r="B5" s="66" t="s">
        <v>229</v>
      </c>
      <c r="C5" s="67"/>
      <c r="D5" s="68"/>
      <c r="E5" s="69"/>
      <c r="F5" s="70"/>
      <c r="G5" s="67"/>
      <c r="H5" s="71"/>
      <c r="I5" s="72"/>
      <c r="J5" s="72"/>
      <c r="K5" s="36"/>
      <c r="L5" s="79">
        <v>5</v>
      </c>
      <c r="M5" s="79"/>
      <c r="N5" s="74"/>
      <c r="O5" s="81" t="s">
        <v>1235</v>
      </c>
    </row>
    <row r="6" spans="1:15" ht="15">
      <c r="A6" s="66" t="s">
        <v>178</v>
      </c>
      <c r="B6" s="66" t="s">
        <v>230</v>
      </c>
      <c r="C6" s="67"/>
      <c r="D6" s="68"/>
      <c r="E6" s="69"/>
      <c r="F6" s="70"/>
      <c r="G6" s="67"/>
      <c r="H6" s="71"/>
      <c r="I6" s="72"/>
      <c r="J6" s="72"/>
      <c r="K6" s="36"/>
      <c r="L6" s="79">
        <v>6</v>
      </c>
      <c r="M6" s="79"/>
      <c r="N6" s="74"/>
      <c r="O6" s="81" t="s">
        <v>1235</v>
      </c>
    </row>
    <row r="7" spans="1:15" ht="15">
      <c r="A7" s="66" t="s">
        <v>178</v>
      </c>
      <c r="B7" s="66" t="s">
        <v>231</v>
      </c>
      <c r="C7" s="67"/>
      <c r="D7" s="68"/>
      <c r="E7" s="69"/>
      <c r="F7" s="70"/>
      <c r="G7" s="67"/>
      <c r="H7" s="71"/>
      <c r="I7" s="72"/>
      <c r="J7" s="72"/>
      <c r="K7" s="36"/>
      <c r="L7" s="79">
        <v>7</v>
      </c>
      <c r="M7" s="79"/>
      <c r="N7" s="74"/>
      <c r="O7" s="81" t="s">
        <v>1235</v>
      </c>
    </row>
    <row r="8" spans="1:15" ht="15">
      <c r="A8" s="66" t="s">
        <v>178</v>
      </c>
      <c r="B8" s="66" t="s">
        <v>232</v>
      </c>
      <c r="C8" s="67"/>
      <c r="D8" s="68"/>
      <c r="E8" s="69"/>
      <c r="F8" s="70"/>
      <c r="G8" s="67"/>
      <c r="H8" s="71"/>
      <c r="I8" s="72"/>
      <c r="J8" s="72"/>
      <c r="K8" s="36"/>
      <c r="L8" s="79">
        <v>8</v>
      </c>
      <c r="M8" s="79"/>
      <c r="N8" s="74"/>
      <c r="O8" s="81" t="s">
        <v>1235</v>
      </c>
    </row>
    <row r="9" spans="1:15" ht="15">
      <c r="A9" s="66" t="s">
        <v>178</v>
      </c>
      <c r="B9" s="66" t="s">
        <v>233</v>
      </c>
      <c r="C9" s="67"/>
      <c r="D9" s="68"/>
      <c r="E9" s="69"/>
      <c r="F9" s="70"/>
      <c r="G9" s="67"/>
      <c r="H9" s="71"/>
      <c r="I9" s="72"/>
      <c r="J9" s="72"/>
      <c r="K9" s="36"/>
      <c r="L9" s="79">
        <v>9</v>
      </c>
      <c r="M9" s="79"/>
      <c r="N9" s="74"/>
      <c r="O9" s="81" t="s">
        <v>1235</v>
      </c>
    </row>
    <row r="10" spans="1:15" ht="15">
      <c r="A10" s="66" t="s">
        <v>178</v>
      </c>
      <c r="B10" s="66" t="s">
        <v>234</v>
      </c>
      <c r="C10" s="67"/>
      <c r="D10" s="68"/>
      <c r="E10" s="69"/>
      <c r="F10" s="70"/>
      <c r="G10" s="67"/>
      <c r="H10" s="71"/>
      <c r="I10" s="72"/>
      <c r="J10" s="72"/>
      <c r="K10" s="36"/>
      <c r="L10" s="79">
        <v>10</v>
      </c>
      <c r="M10" s="79"/>
      <c r="N10" s="74"/>
      <c r="O10" s="81" t="s">
        <v>1235</v>
      </c>
    </row>
    <row r="11" spans="1:15" ht="15">
      <c r="A11" s="66" t="s">
        <v>178</v>
      </c>
      <c r="B11" s="66" t="s">
        <v>235</v>
      </c>
      <c r="C11" s="67"/>
      <c r="D11" s="68"/>
      <c r="E11" s="69"/>
      <c r="F11" s="70"/>
      <c r="G11" s="67"/>
      <c r="H11" s="71"/>
      <c r="I11" s="72"/>
      <c r="J11" s="72"/>
      <c r="K11" s="36"/>
      <c r="L11" s="79">
        <v>11</v>
      </c>
      <c r="M11" s="79"/>
      <c r="N11" s="74"/>
      <c r="O11" s="81" t="s">
        <v>1235</v>
      </c>
    </row>
    <row r="12" spans="1:15" ht="15">
      <c r="A12" s="66" t="s">
        <v>178</v>
      </c>
      <c r="B12" s="66" t="s">
        <v>236</v>
      </c>
      <c r="C12" s="67"/>
      <c r="D12" s="68"/>
      <c r="E12" s="69"/>
      <c r="F12" s="70"/>
      <c r="G12" s="67"/>
      <c r="H12" s="71"/>
      <c r="I12" s="72"/>
      <c r="J12" s="72"/>
      <c r="K12" s="36"/>
      <c r="L12" s="79">
        <v>12</v>
      </c>
      <c r="M12" s="79"/>
      <c r="N12" s="74"/>
      <c r="O12" s="81" t="s">
        <v>1235</v>
      </c>
    </row>
    <row r="13" spans="1:15" ht="15">
      <c r="A13" s="66" t="s">
        <v>178</v>
      </c>
      <c r="B13" s="66" t="s">
        <v>227</v>
      </c>
      <c r="C13" s="67"/>
      <c r="D13" s="68"/>
      <c r="E13" s="69"/>
      <c r="F13" s="70"/>
      <c r="G13" s="67"/>
      <c r="H13" s="71"/>
      <c r="I13" s="72"/>
      <c r="J13" s="72"/>
      <c r="K13" s="36"/>
      <c r="L13" s="79">
        <v>13</v>
      </c>
      <c r="M13" s="79"/>
      <c r="N13" s="74"/>
      <c r="O13" s="81" t="s">
        <v>1235</v>
      </c>
    </row>
    <row r="14" spans="1:15" ht="15">
      <c r="A14" s="66" t="s">
        <v>178</v>
      </c>
      <c r="B14" s="66" t="s">
        <v>237</v>
      </c>
      <c r="C14" s="67"/>
      <c r="D14" s="68"/>
      <c r="E14" s="69"/>
      <c r="F14" s="70"/>
      <c r="G14" s="67"/>
      <c r="H14" s="71"/>
      <c r="I14" s="72"/>
      <c r="J14" s="72"/>
      <c r="K14" s="36"/>
      <c r="L14" s="79">
        <v>14</v>
      </c>
      <c r="M14" s="79"/>
      <c r="N14" s="74"/>
      <c r="O14" s="81" t="s">
        <v>1235</v>
      </c>
    </row>
    <row r="15" spans="1:15" ht="15">
      <c r="A15" s="66" t="s">
        <v>178</v>
      </c>
      <c r="B15" s="66" t="s">
        <v>238</v>
      </c>
      <c r="C15" s="67"/>
      <c r="D15" s="68"/>
      <c r="E15" s="69"/>
      <c r="F15" s="70"/>
      <c r="G15" s="67"/>
      <c r="H15" s="71"/>
      <c r="I15" s="72"/>
      <c r="J15" s="72"/>
      <c r="K15" s="36"/>
      <c r="L15" s="79">
        <v>15</v>
      </c>
      <c r="M15" s="79"/>
      <c r="N15" s="74"/>
      <c r="O15" s="81" t="s">
        <v>1235</v>
      </c>
    </row>
    <row r="16" spans="1:15" ht="15">
      <c r="A16" s="66" t="s">
        <v>179</v>
      </c>
      <c r="B16" s="66" t="s">
        <v>239</v>
      </c>
      <c r="C16" s="67"/>
      <c r="D16" s="68"/>
      <c r="E16" s="69"/>
      <c r="F16" s="70"/>
      <c r="G16" s="67"/>
      <c r="H16" s="71"/>
      <c r="I16" s="72"/>
      <c r="J16" s="72"/>
      <c r="K16" s="36"/>
      <c r="L16" s="79">
        <v>16</v>
      </c>
      <c r="M16" s="79"/>
      <c r="N16" s="74"/>
      <c r="O16" s="81" t="s">
        <v>1235</v>
      </c>
    </row>
    <row r="17" spans="1:15" ht="15">
      <c r="A17" s="66" t="s">
        <v>179</v>
      </c>
      <c r="B17" s="66" t="s">
        <v>240</v>
      </c>
      <c r="C17" s="67"/>
      <c r="D17" s="68"/>
      <c r="E17" s="69"/>
      <c r="F17" s="70"/>
      <c r="G17" s="67"/>
      <c r="H17" s="71"/>
      <c r="I17" s="72"/>
      <c r="J17" s="72"/>
      <c r="K17" s="36"/>
      <c r="L17" s="79">
        <v>17</v>
      </c>
      <c r="M17" s="79"/>
      <c r="N17" s="74"/>
      <c r="O17" s="81" t="s">
        <v>1235</v>
      </c>
    </row>
    <row r="18" spans="1:15" ht="15">
      <c r="A18" s="66" t="s">
        <v>179</v>
      </c>
      <c r="B18" s="66" t="s">
        <v>241</v>
      </c>
      <c r="C18" s="67"/>
      <c r="D18" s="68"/>
      <c r="E18" s="69"/>
      <c r="F18" s="70"/>
      <c r="G18" s="67"/>
      <c r="H18" s="71"/>
      <c r="I18" s="72"/>
      <c r="J18" s="72"/>
      <c r="K18" s="36"/>
      <c r="L18" s="79">
        <v>18</v>
      </c>
      <c r="M18" s="79"/>
      <c r="N18" s="74"/>
      <c r="O18" s="81" t="s">
        <v>1235</v>
      </c>
    </row>
    <row r="19" spans="1:15" ht="15">
      <c r="A19" s="66" t="s">
        <v>179</v>
      </c>
      <c r="B19" s="66" t="s">
        <v>242</v>
      </c>
      <c r="C19" s="67"/>
      <c r="D19" s="68"/>
      <c r="E19" s="69"/>
      <c r="F19" s="70"/>
      <c r="G19" s="67"/>
      <c r="H19" s="71"/>
      <c r="I19" s="72"/>
      <c r="J19" s="72"/>
      <c r="K19" s="36"/>
      <c r="L19" s="79">
        <v>19</v>
      </c>
      <c r="M19" s="79"/>
      <c r="N19" s="74"/>
      <c r="O19" s="81" t="s">
        <v>1235</v>
      </c>
    </row>
    <row r="20" spans="1:15" ht="15">
      <c r="A20" s="66" t="s">
        <v>179</v>
      </c>
      <c r="B20" s="66" t="s">
        <v>243</v>
      </c>
      <c r="C20" s="67"/>
      <c r="D20" s="68"/>
      <c r="E20" s="69"/>
      <c r="F20" s="70"/>
      <c r="G20" s="67"/>
      <c r="H20" s="71"/>
      <c r="I20" s="72"/>
      <c r="J20" s="72"/>
      <c r="K20" s="36"/>
      <c r="L20" s="79">
        <v>20</v>
      </c>
      <c r="M20" s="79"/>
      <c r="N20" s="74"/>
      <c r="O20" s="81" t="s">
        <v>1235</v>
      </c>
    </row>
    <row r="21" spans="1:15" ht="15">
      <c r="A21" s="66" t="s">
        <v>179</v>
      </c>
      <c r="B21" s="66" t="s">
        <v>244</v>
      </c>
      <c r="C21" s="67"/>
      <c r="D21" s="68"/>
      <c r="E21" s="69"/>
      <c r="F21" s="70"/>
      <c r="G21" s="67"/>
      <c r="H21" s="71"/>
      <c r="I21" s="72"/>
      <c r="J21" s="72"/>
      <c r="K21" s="36"/>
      <c r="L21" s="79">
        <v>21</v>
      </c>
      <c r="M21" s="79"/>
      <c r="N21" s="74"/>
      <c r="O21" s="81" t="s">
        <v>1235</v>
      </c>
    </row>
    <row r="22" spans="1:15" ht="15">
      <c r="A22" s="66" t="s">
        <v>179</v>
      </c>
      <c r="B22" s="66" t="s">
        <v>245</v>
      </c>
      <c r="C22" s="67"/>
      <c r="D22" s="68"/>
      <c r="E22" s="69"/>
      <c r="F22" s="70"/>
      <c r="G22" s="67"/>
      <c r="H22" s="71"/>
      <c r="I22" s="72"/>
      <c r="J22" s="72"/>
      <c r="K22" s="36"/>
      <c r="L22" s="79">
        <v>22</v>
      </c>
      <c r="M22" s="79"/>
      <c r="N22" s="74"/>
      <c r="O22" s="81" t="s">
        <v>1235</v>
      </c>
    </row>
    <row r="23" spans="1:15" ht="15">
      <c r="A23" s="66" t="s">
        <v>179</v>
      </c>
      <c r="B23" s="66" t="s">
        <v>246</v>
      </c>
      <c r="C23" s="67"/>
      <c r="D23" s="68"/>
      <c r="E23" s="69"/>
      <c r="F23" s="70"/>
      <c r="G23" s="67"/>
      <c r="H23" s="71"/>
      <c r="I23" s="72"/>
      <c r="J23" s="72"/>
      <c r="K23" s="36"/>
      <c r="L23" s="79">
        <v>23</v>
      </c>
      <c r="M23" s="79"/>
      <c r="N23" s="74"/>
      <c r="O23" s="81" t="s">
        <v>1235</v>
      </c>
    </row>
    <row r="24" spans="1:15" ht="15">
      <c r="A24" s="66" t="s">
        <v>179</v>
      </c>
      <c r="B24" s="66" t="s">
        <v>247</v>
      </c>
      <c r="C24" s="67"/>
      <c r="D24" s="68"/>
      <c r="E24" s="69"/>
      <c r="F24" s="70"/>
      <c r="G24" s="67"/>
      <c r="H24" s="71"/>
      <c r="I24" s="72"/>
      <c r="J24" s="72"/>
      <c r="K24" s="36"/>
      <c r="L24" s="79">
        <v>24</v>
      </c>
      <c r="M24" s="79"/>
      <c r="N24" s="74"/>
      <c r="O24" s="81" t="s">
        <v>1235</v>
      </c>
    </row>
    <row r="25" spans="1:15" ht="15">
      <c r="A25" s="66" t="s">
        <v>179</v>
      </c>
      <c r="B25" s="66" t="s">
        <v>248</v>
      </c>
      <c r="C25" s="67"/>
      <c r="D25" s="68"/>
      <c r="E25" s="69"/>
      <c r="F25" s="70"/>
      <c r="G25" s="67"/>
      <c r="H25" s="71"/>
      <c r="I25" s="72"/>
      <c r="J25" s="72"/>
      <c r="K25" s="36"/>
      <c r="L25" s="79">
        <v>25</v>
      </c>
      <c r="M25" s="79"/>
      <c r="N25" s="74"/>
      <c r="O25" s="81" t="s">
        <v>1235</v>
      </c>
    </row>
    <row r="26" spans="1:15" ht="15">
      <c r="A26" s="66" t="s">
        <v>179</v>
      </c>
      <c r="B26" s="66" t="s">
        <v>249</v>
      </c>
      <c r="C26" s="67"/>
      <c r="D26" s="68"/>
      <c r="E26" s="69"/>
      <c r="F26" s="70"/>
      <c r="G26" s="67"/>
      <c r="H26" s="71"/>
      <c r="I26" s="72"/>
      <c r="J26" s="72"/>
      <c r="K26" s="36"/>
      <c r="L26" s="79">
        <v>26</v>
      </c>
      <c r="M26" s="79"/>
      <c r="N26" s="74"/>
      <c r="O26" s="81" t="s">
        <v>1235</v>
      </c>
    </row>
    <row r="27" spans="1:15" ht="15">
      <c r="A27" s="66" t="s">
        <v>179</v>
      </c>
      <c r="B27" s="66" t="s">
        <v>250</v>
      </c>
      <c r="C27" s="67"/>
      <c r="D27" s="68"/>
      <c r="E27" s="69"/>
      <c r="F27" s="70"/>
      <c r="G27" s="67"/>
      <c r="H27" s="71"/>
      <c r="I27" s="72"/>
      <c r="J27" s="72"/>
      <c r="K27" s="36"/>
      <c r="L27" s="79">
        <v>27</v>
      </c>
      <c r="M27" s="79"/>
      <c r="N27" s="74"/>
      <c r="O27" s="81" t="s">
        <v>1235</v>
      </c>
    </row>
    <row r="28" spans="1:15" ht="15">
      <c r="A28" s="66" t="s">
        <v>179</v>
      </c>
      <c r="B28" s="66" t="s">
        <v>251</v>
      </c>
      <c r="C28" s="67"/>
      <c r="D28" s="68"/>
      <c r="E28" s="69"/>
      <c r="F28" s="70"/>
      <c r="G28" s="67"/>
      <c r="H28" s="71"/>
      <c r="I28" s="72"/>
      <c r="J28" s="72"/>
      <c r="K28" s="36"/>
      <c r="L28" s="79">
        <v>28</v>
      </c>
      <c r="M28" s="79"/>
      <c r="N28" s="74"/>
      <c r="O28" s="81" t="s">
        <v>1235</v>
      </c>
    </row>
    <row r="29" spans="1:15" ht="15">
      <c r="A29" s="66" t="s">
        <v>179</v>
      </c>
      <c r="B29" s="66" t="s">
        <v>252</v>
      </c>
      <c r="C29" s="67"/>
      <c r="D29" s="68"/>
      <c r="E29" s="69"/>
      <c r="F29" s="70"/>
      <c r="G29" s="67"/>
      <c r="H29" s="71"/>
      <c r="I29" s="72"/>
      <c r="J29" s="72"/>
      <c r="K29" s="36"/>
      <c r="L29" s="79">
        <v>29</v>
      </c>
      <c r="M29" s="79"/>
      <c r="N29" s="74"/>
      <c r="O29" s="81" t="s">
        <v>1235</v>
      </c>
    </row>
    <row r="30" spans="1:15" ht="15">
      <c r="A30" s="66" t="s">
        <v>179</v>
      </c>
      <c r="B30" s="66" t="s">
        <v>253</v>
      </c>
      <c r="C30" s="67"/>
      <c r="D30" s="68"/>
      <c r="E30" s="69"/>
      <c r="F30" s="70"/>
      <c r="G30" s="67"/>
      <c r="H30" s="71"/>
      <c r="I30" s="72"/>
      <c r="J30" s="72"/>
      <c r="K30" s="36"/>
      <c r="L30" s="79">
        <v>30</v>
      </c>
      <c r="M30" s="79"/>
      <c r="N30" s="74"/>
      <c r="O30" s="81" t="s">
        <v>1235</v>
      </c>
    </row>
    <row r="31" spans="1:15" ht="15">
      <c r="A31" s="66" t="s">
        <v>179</v>
      </c>
      <c r="B31" s="66" t="s">
        <v>254</v>
      </c>
      <c r="C31" s="67"/>
      <c r="D31" s="68"/>
      <c r="E31" s="69"/>
      <c r="F31" s="70"/>
      <c r="G31" s="67"/>
      <c r="H31" s="71"/>
      <c r="I31" s="72"/>
      <c r="J31" s="72"/>
      <c r="K31" s="36"/>
      <c r="L31" s="79">
        <v>31</v>
      </c>
      <c r="M31" s="79"/>
      <c r="N31" s="74"/>
      <c r="O31" s="81" t="s">
        <v>1235</v>
      </c>
    </row>
    <row r="32" spans="1:15" ht="15">
      <c r="A32" s="66" t="s">
        <v>179</v>
      </c>
      <c r="B32" s="66" t="s">
        <v>255</v>
      </c>
      <c r="C32" s="67"/>
      <c r="D32" s="68"/>
      <c r="E32" s="69"/>
      <c r="F32" s="70"/>
      <c r="G32" s="67"/>
      <c r="H32" s="71"/>
      <c r="I32" s="72"/>
      <c r="J32" s="72"/>
      <c r="K32" s="36"/>
      <c r="L32" s="79">
        <v>32</v>
      </c>
      <c r="M32" s="79"/>
      <c r="N32" s="74"/>
      <c r="O32" s="81" t="s">
        <v>1235</v>
      </c>
    </row>
    <row r="33" spans="1:15" ht="15">
      <c r="A33" s="66" t="s">
        <v>179</v>
      </c>
      <c r="B33" s="66" t="s">
        <v>256</v>
      </c>
      <c r="C33" s="67"/>
      <c r="D33" s="68"/>
      <c r="E33" s="69"/>
      <c r="F33" s="70"/>
      <c r="G33" s="67"/>
      <c r="H33" s="71"/>
      <c r="I33" s="72"/>
      <c r="J33" s="72"/>
      <c r="K33" s="36"/>
      <c r="L33" s="79">
        <v>33</v>
      </c>
      <c r="M33" s="79"/>
      <c r="N33" s="74"/>
      <c r="O33" s="81" t="s">
        <v>1235</v>
      </c>
    </row>
    <row r="34" spans="1:15" ht="15">
      <c r="A34" s="66" t="s">
        <v>179</v>
      </c>
      <c r="B34" s="66" t="s">
        <v>257</v>
      </c>
      <c r="C34" s="67"/>
      <c r="D34" s="68"/>
      <c r="E34" s="69"/>
      <c r="F34" s="70"/>
      <c r="G34" s="67"/>
      <c r="H34" s="71"/>
      <c r="I34" s="72"/>
      <c r="J34" s="72"/>
      <c r="K34" s="36"/>
      <c r="L34" s="79">
        <v>34</v>
      </c>
      <c r="M34" s="79"/>
      <c r="N34" s="74"/>
      <c r="O34" s="81" t="s">
        <v>1235</v>
      </c>
    </row>
    <row r="35" spans="1:15" ht="15">
      <c r="A35" s="66" t="s">
        <v>179</v>
      </c>
      <c r="B35" s="66" t="s">
        <v>258</v>
      </c>
      <c r="C35" s="67"/>
      <c r="D35" s="68"/>
      <c r="E35" s="69"/>
      <c r="F35" s="70"/>
      <c r="G35" s="67"/>
      <c r="H35" s="71"/>
      <c r="I35" s="72"/>
      <c r="J35" s="72"/>
      <c r="K35" s="36"/>
      <c r="L35" s="79">
        <v>35</v>
      </c>
      <c r="M35" s="79"/>
      <c r="N35" s="74"/>
      <c r="O35" s="81" t="s">
        <v>1235</v>
      </c>
    </row>
    <row r="36" spans="1:15" ht="15">
      <c r="A36" s="66" t="s">
        <v>179</v>
      </c>
      <c r="B36" s="66" t="s">
        <v>259</v>
      </c>
      <c r="C36" s="67"/>
      <c r="D36" s="68"/>
      <c r="E36" s="69"/>
      <c r="F36" s="70"/>
      <c r="G36" s="67"/>
      <c r="H36" s="71"/>
      <c r="I36" s="72"/>
      <c r="J36" s="72"/>
      <c r="K36" s="36"/>
      <c r="L36" s="79">
        <v>36</v>
      </c>
      <c r="M36" s="79"/>
      <c r="N36" s="74"/>
      <c r="O36" s="81" t="s">
        <v>1235</v>
      </c>
    </row>
    <row r="37" spans="1:15" ht="15">
      <c r="A37" s="66" t="s">
        <v>179</v>
      </c>
      <c r="B37" s="66" t="s">
        <v>260</v>
      </c>
      <c r="C37" s="67"/>
      <c r="D37" s="68"/>
      <c r="E37" s="69"/>
      <c r="F37" s="70"/>
      <c r="G37" s="67"/>
      <c r="H37" s="71"/>
      <c r="I37" s="72"/>
      <c r="J37" s="72"/>
      <c r="K37" s="36"/>
      <c r="L37" s="79">
        <v>37</v>
      </c>
      <c r="M37" s="79"/>
      <c r="N37" s="74"/>
      <c r="O37" s="81" t="s">
        <v>1235</v>
      </c>
    </row>
    <row r="38" spans="1:15" ht="15">
      <c r="A38" s="66" t="s">
        <v>179</v>
      </c>
      <c r="B38" s="66" t="s">
        <v>261</v>
      </c>
      <c r="C38" s="67"/>
      <c r="D38" s="68"/>
      <c r="E38" s="69"/>
      <c r="F38" s="70"/>
      <c r="G38" s="67"/>
      <c r="H38" s="71"/>
      <c r="I38" s="72"/>
      <c r="J38" s="72"/>
      <c r="K38" s="36"/>
      <c r="L38" s="79">
        <v>38</v>
      </c>
      <c r="M38" s="79"/>
      <c r="N38" s="74"/>
      <c r="O38" s="81" t="s">
        <v>1235</v>
      </c>
    </row>
    <row r="39" spans="1:15" ht="15">
      <c r="A39" s="66" t="s">
        <v>180</v>
      </c>
      <c r="B39" s="66" t="s">
        <v>262</v>
      </c>
      <c r="C39" s="67"/>
      <c r="D39" s="68"/>
      <c r="E39" s="69"/>
      <c r="F39" s="70"/>
      <c r="G39" s="67"/>
      <c r="H39" s="71"/>
      <c r="I39" s="72"/>
      <c r="J39" s="72"/>
      <c r="K39" s="36"/>
      <c r="L39" s="79">
        <v>39</v>
      </c>
      <c r="M39" s="79"/>
      <c r="N39" s="74"/>
      <c r="O39" s="81" t="s">
        <v>1235</v>
      </c>
    </row>
    <row r="40" spans="1:15" ht="15">
      <c r="A40" s="66" t="s">
        <v>181</v>
      </c>
      <c r="B40" s="66" t="s">
        <v>263</v>
      </c>
      <c r="C40" s="67"/>
      <c r="D40" s="68"/>
      <c r="E40" s="69"/>
      <c r="F40" s="70"/>
      <c r="G40" s="67"/>
      <c r="H40" s="71"/>
      <c r="I40" s="72"/>
      <c r="J40" s="72"/>
      <c r="K40" s="36"/>
      <c r="L40" s="79">
        <v>40</v>
      </c>
      <c r="M40" s="79"/>
      <c r="N40" s="74"/>
      <c r="O40" s="81" t="s">
        <v>1235</v>
      </c>
    </row>
    <row r="41" spans="1:15" ht="15">
      <c r="A41" s="66" t="s">
        <v>181</v>
      </c>
      <c r="B41" s="66" t="s">
        <v>264</v>
      </c>
      <c r="C41" s="67"/>
      <c r="D41" s="68"/>
      <c r="E41" s="69"/>
      <c r="F41" s="70"/>
      <c r="G41" s="67"/>
      <c r="H41" s="71"/>
      <c r="I41" s="72"/>
      <c r="J41" s="72"/>
      <c r="K41" s="36"/>
      <c r="L41" s="79">
        <v>41</v>
      </c>
      <c r="M41" s="79"/>
      <c r="N41" s="74"/>
      <c r="O41" s="81" t="s">
        <v>1235</v>
      </c>
    </row>
    <row r="42" spans="1:15" ht="15">
      <c r="A42" s="66" t="s">
        <v>181</v>
      </c>
      <c r="B42" s="66" t="s">
        <v>265</v>
      </c>
      <c r="C42" s="67"/>
      <c r="D42" s="68"/>
      <c r="E42" s="69"/>
      <c r="F42" s="70"/>
      <c r="G42" s="67"/>
      <c r="H42" s="71"/>
      <c r="I42" s="72"/>
      <c r="J42" s="72"/>
      <c r="K42" s="36"/>
      <c r="L42" s="79">
        <v>42</v>
      </c>
      <c r="M42" s="79"/>
      <c r="N42" s="74"/>
      <c r="O42" s="81" t="s">
        <v>1235</v>
      </c>
    </row>
    <row r="43" spans="1:15" ht="15">
      <c r="A43" s="66" t="s">
        <v>181</v>
      </c>
      <c r="B43" s="66" t="s">
        <v>266</v>
      </c>
      <c r="C43" s="67"/>
      <c r="D43" s="68"/>
      <c r="E43" s="69"/>
      <c r="F43" s="70"/>
      <c r="G43" s="67"/>
      <c r="H43" s="71"/>
      <c r="I43" s="72"/>
      <c r="J43" s="72"/>
      <c r="K43" s="36"/>
      <c r="L43" s="79">
        <v>43</v>
      </c>
      <c r="M43" s="79"/>
      <c r="N43" s="74"/>
      <c r="O43" s="81" t="s">
        <v>1235</v>
      </c>
    </row>
    <row r="44" spans="1:15" ht="15">
      <c r="A44" s="66" t="s">
        <v>181</v>
      </c>
      <c r="B44" s="66" t="s">
        <v>267</v>
      </c>
      <c r="C44" s="67"/>
      <c r="D44" s="68"/>
      <c r="E44" s="69"/>
      <c r="F44" s="70"/>
      <c r="G44" s="67"/>
      <c r="H44" s="71"/>
      <c r="I44" s="72"/>
      <c r="J44" s="72"/>
      <c r="K44" s="36"/>
      <c r="L44" s="79">
        <v>44</v>
      </c>
      <c r="M44" s="79"/>
      <c r="N44" s="74"/>
      <c r="O44" s="81" t="s">
        <v>1235</v>
      </c>
    </row>
    <row r="45" spans="1:15" ht="15">
      <c r="A45" s="66" t="s">
        <v>181</v>
      </c>
      <c r="B45" s="66" t="s">
        <v>268</v>
      </c>
      <c r="C45" s="67"/>
      <c r="D45" s="68"/>
      <c r="E45" s="69"/>
      <c r="F45" s="70"/>
      <c r="G45" s="67"/>
      <c r="H45" s="71"/>
      <c r="I45" s="72"/>
      <c r="J45" s="72"/>
      <c r="K45" s="36"/>
      <c r="L45" s="79">
        <v>45</v>
      </c>
      <c r="M45" s="79"/>
      <c r="N45" s="74"/>
      <c r="O45" s="81" t="s">
        <v>1235</v>
      </c>
    </row>
    <row r="46" spans="1:15" ht="15">
      <c r="A46" s="66" t="s">
        <v>181</v>
      </c>
      <c r="B46" s="66" t="s">
        <v>225</v>
      </c>
      <c r="C46" s="67"/>
      <c r="D46" s="68"/>
      <c r="E46" s="69"/>
      <c r="F46" s="70"/>
      <c r="G46" s="67"/>
      <c r="H46" s="71"/>
      <c r="I46" s="72"/>
      <c r="J46" s="72"/>
      <c r="K46" s="36"/>
      <c r="L46" s="79">
        <v>46</v>
      </c>
      <c r="M46" s="79"/>
      <c r="N46" s="74"/>
      <c r="O46" s="81" t="s">
        <v>1235</v>
      </c>
    </row>
    <row r="47" spans="1:15" ht="15">
      <c r="A47" s="66" t="s">
        <v>181</v>
      </c>
      <c r="B47" s="66" t="s">
        <v>206</v>
      </c>
      <c r="C47" s="67"/>
      <c r="D47" s="68"/>
      <c r="E47" s="69"/>
      <c r="F47" s="70"/>
      <c r="G47" s="67"/>
      <c r="H47" s="71"/>
      <c r="I47" s="72"/>
      <c r="J47" s="72"/>
      <c r="K47" s="36"/>
      <c r="L47" s="79">
        <v>47</v>
      </c>
      <c r="M47" s="79"/>
      <c r="N47" s="74"/>
      <c r="O47" s="81" t="s">
        <v>1235</v>
      </c>
    </row>
    <row r="48" spans="1:15" ht="15">
      <c r="A48" s="66" t="s">
        <v>181</v>
      </c>
      <c r="B48" s="66" t="s">
        <v>227</v>
      </c>
      <c r="C48" s="67"/>
      <c r="D48" s="68"/>
      <c r="E48" s="69"/>
      <c r="F48" s="70"/>
      <c r="G48" s="67"/>
      <c r="H48" s="71"/>
      <c r="I48" s="72"/>
      <c r="J48" s="72"/>
      <c r="K48" s="36"/>
      <c r="L48" s="79">
        <v>48</v>
      </c>
      <c r="M48" s="79"/>
      <c r="N48" s="74"/>
      <c r="O48" s="81" t="s">
        <v>1235</v>
      </c>
    </row>
    <row r="49" spans="1:15" ht="15">
      <c r="A49" s="66" t="s">
        <v>181</v>
      </c>
      <c r="B49" s="66" t="s">
        <v>201</v>
      </c>
      <c r="C49" s="67"/>
      <c r="D49" s="68"/>
      <c r="E49" s="69"/>
      <c r="F49" s="70"/>
      <c r="G49" s="67"/>
      <c r="H49" s="71"/>
      <c r="I49" s="72"/>
      <c r="J49" s="72"/>
      <c r="K49" s="36"/>
      <c r="L49" s="79">
        <v>49</v>
      </c>
      <c r="M49" s="79"/>
      <c r="N49" s="74"/>
      <c r="O49" s="81" t="s">
        <v>1235</v>
      </c>
    </row>
    <row r="50" spans="1:15" ht="15">
      <c r="A50" s="66" t="s">
        <v>182</v>
      </c>
      <c r="B50" s="66" t="s">
        <v>269</v>
      </c>
      <c r="C50" s="67"/>
      <c r="D50" s="68"/>
      <c r="E50" s="69"/>
      <c r="F50" s="70"/>
      <c r="G50" s="67"/>
      <c r="H50" s="71"/>
      <c r="I50" s="72"/>
      <c r="J50" s="72"/>
      <c r="K50" s="36"/>
      <c r="L50" s="79">
        <v>50</v>
      </c>
      <c r="M50" s="79"/>
      <c r="N50" s="74"/>
      <c r="O50" s="81" t="s">
        <v>1235</v>
      </c>
    </row>
    <row r="51" spans="1:15" ht="15">
      <c r="A51" s="66" t="s">
        <v>182</v>
      </c>
      <c r="B51" s="66" t="s">
        <v>270</v>
      </c>
      <c r="C51" s="67"/>
      <c r="D51" s="68"/>
      <c r="E51" s="69"/>
      <c r="F51" s="70"/>
      <c r="G51" s="67"/>
      <c r="H51" s="71"/>
      <c r="I51" s="72"/>
      <c r="J51" s="72"/>
      <c r="K51" s="36"/>
      <c r="L51" s="79">
        <v>51</v>
      </c>
      <c r="M51" s="79"/>
      <c r="N51" s="74"/>
      <c r="O51" s="81" t="s">
        <v>1235</v>
      </c>
    </row>
    <row r="52" spans="1:15" ht="15">
      <c r="A52" s="66" t="s">
        <v>182</v>
      </c>
      <c r="B52" s="66" t="s">
        <v>271</v>
      </c>
      <c r="C52" s="67"/>
      <c r="D52" s="68"/>
      <c r="E52" s="69"/>
      <c r="F52" s="70"/>
      <c r="G52" s="67"/>
      <c r="H52" s="71"/>
      <c r="I52" s="72"/>
      <c r="J52" s="72"/>
      <c r="K52" s="36"/>
      <c r="L52" s="79">
        <v>52</v>
      </c>
      <c r="M52" s="79"/>
      <c r="N52" s="74"/>
      <c r="O52" s="81" t="s">
        <v>1235</v>
      </c>
    </row>
    <row r="53" spans="1:15" ht="15">
      <c r="A53" s="66" t="s">
        <v>182</v>
      </c>
      <c r="B53" s="66" t="s">
        <v>272</v>
      </c>
      <c r="C53" s="67"/>
      <c r="D53" s="68"/>
      <c r="E53" s="69"/>
      <c r="F53" s="70"/>
      <c r="G53" s="67"/>
      <c r="H53" s="71"/>
      <c r="I53" s="72"/>
      <c r="J53" s="72"/>
      <c r="K53" s="36"/>
      <c r="L53" s="79">
        <v>53</v>
      </c>
      <c r="M53" s="79"/>
      <c r="N53" s="74"/>
      <c r="O53" s="81" t="s">
        <v>1235</v>
      </c>
    </row>
    <row r="54" spans="1:15" ht="15">
      <c r="A54" s="66" t="s">
        <v>182</v>
      </c>
      <c r="B54" s="66" t="s">
        <v>228</v>
      </c>
      <c r="C54" s="67"/>
      <c r="D54" s="68"/>
      <c r="E54" s="69"/>
      <c r="F54" s="70"/>
      <c r="G54" s="67"/>
      <c r="H54" s="71"/>
      <c r="I54" s="72"/>
      <c r="J54" s="72"/>
      <c r="K54" s="36"/>
      <c r="L54" s="79">
        <v>54</v>
      </c>
      <c r="M54" s="79"/>
      <c r="N54" s="74"/>
      <c r="O54" s="81" t="s">
        <v>1235</v>
      </c>
    </row>
    <row r="55" spans="1:15" ht="15">
      <c r="A55" s="66" t="s">
        <v>182</v>
      </c>
      <c r="B55" s="66" t="s">
        <v>230</v>
      </c>
      <c r="C55" s="67"/>
      <c r="D55" s="68"/>
      <c r="E55" s="69"/>
      <c r="F55" s="70"/>
      <c r="G55" s="67"/>
      <c r="H55" s="71"/>
      <c r="I55" s="72"/>
      <c r="J55" s="72"/>
      <c r="K55" s="36"/>
      <c r="L55" s="79">
        <v>55</v>
      </c>
      <c r="M55" s="79"/>
      <c r="N55" s="74"/>
      <c r="O55" s="81" t="s">
        <v>1235</v>
      </c>
    </row>
    <row r="56" spans="1:15" ht="15">
      <c r="A56" s="66" t="s">
        <v>182</v>
      </c>
      <c r="B56" s="66" t="s">
        <v>232</v>
      </c>
      <c r="C56" s="67"/>
      <c r="D56" s="68"/>
      <c r="E56" s="69"/>
      <c r="F56" s="70"/>
      <c r="G56" s="67"/>
      <c r="H56" s="71"/>
      <c r="I56" s="72"/>
      <c r="J56" s="72"/>
      <c r="K56" s="36"/>
      <c r="L56" s="79">
        <v>56</v>
      </c>
      <c r="M56" s="79"/>
      <c r="N56" s="74"/>
      <c r="O56" s="81" t="s">
        <v>1235</v>
      </c>
    </row>
    <row r="57" spans="1:15" ht="15">
      <c r="A57" s="66" t="s">
        <v>182</v>
      </c>
      <c r="B57" s="66" t="s">
        <v>231</v>
      </c>
      <c r="C57" s="67"/>
      <c r="D57" s="68"/>
      <c r="E57" s="69"/>
      <c r="F57" s="70"/>
      <c r="G57" s="67"/>
      <c r="H57" s="71"/>
      <c r="I57" s="72"/>
      <c r="J57" s="72"/>
      <c r="K57" s="36"/>
      <c r="L57" s="79">
        <v>57</v>
      </c>
      <c r="M57" s="79"/>
      <c r="N57" s="74"/>
      <c r="O57" s="81" t="s">
        <v>1235</v>
      </c>
    </row>
    <row r="58" spans="1:15" ht="15">
      <c r="A58" s="66" t="s">
        <v>182</v>
      </c>
      <c r="B58" s="66" t="s">
        <v>238</v>
      </c>
      <c r="C58" s="67"/>
      <c r="D58" s="68"/>
      <c r="E58" s="69"/>
      <c r="F58" s="70"/>
      <c r="G58" s="67"/>
      <c r="H58" s="71"/>
      <c r="I58" s="72"/>
      <c r="J58" s="72"/>
      <c r="K58" s="36"/>
      <c r="L58" s="79">
        <v>58</v>
      </c>
      <c r="M58" s="79"/>
      <c r="N58" s="74"/>
      <c r="O58" s="81" t="s">
        <v>1235</v>
      </c>
    </row>
    <row r="59" spans="1:15" ht="15">
      <c r="A59" s="66" t="s">
        <v>182</v>
      </c>
      <c r="B59" s="66" t="s">
        <v>233</v>
      </c>
      <c r="C59" s="67"/>
      <c r="D59" s="68"/>
      <c r="E59" s="69"/>
      <c r="F59" s="70"/>
      <c r="G59" s="67"/>
      <c r="H59" s="71"/>
      <c r="I59" s="72"/>
      <c r="J59" s="72"/>
      <c r="K59" s="36"/>
      <c r="L59" s="79">
        <v>59</v>
      </c>
      <c r="M59" s="79"/>
      <c r="N59" s="74"/>
      <c r="O59" s="81" t="s">
        <v>1235</v>
      </c>
    </row>
    <row r="60" spans="1:15" ht="15">
      <c r="A60" s="66" t="s">
        <v>182</v>
      </c>
      <c r="B60" s="66" t="s">
        <v>237</v>
      </c>
      <c r="C60" s="67"/>
      <c r="D60" s="68"/>
      <c r="E60" s="69"/>
      <c r="F60" s="70"/>
      <c r="G60" s="67"/>
      <c r="H60" s="71"/>
      <c r="I60" s="72"/>
      <c r="J60" s="72"/>
      <c r="K60" s="36"/>
      <c r="L60" s="79">
        <v>60</v>
      </c>
      <c r="M60" s="79"/>
      <c r="N60" s="74"/>
      <c r="O60" s="81" t="s">
        <v>1235</v>
      </c>
    </row>
    <row r="61" spans="1:15" ht="15">
      <c r="A61" s="66" t="s">
        <v>182</v>
      </c>
      <c r="B61" s="66" t="s">
        <v>235</v>
      </c>
      <c r="C61" s="67"/>
      <c r="D61" s="68"/>
      <c r="E61" s="69"/>
      <c r="F61" s="70"/>
      <c r="G61" s="67"/>
      <c r="H61" s="71"/>
      <c r="I61" s="72"/>
      <c r="J61" s="72"/>
      <c r="K61" s="36"/>
      <c r="L61" s="79">
        <v>61</v>
      </c>
      <c r="M61" s="79"/>
      <c r="N61" s="74"/>
      <c r="O61" s="81" t="s">
        <v>1235</v>
      </c>
    </row>
    <row r="62" spans="1:15" ht="15">
      <c r="A62" s="66" t="s">
        <v>182</v>
      </c>
      <c r="B62" s="66" t="s">
        <v>234</v>
      </c>
      <c r="C62" s="67"/>
      <c r="D62" s="68"/>
      <c r="E62" s="69"/>
      <c r="F62" s="70"/>
      <c r="G62" s="67"/>
      <c r="H62" s="71"/>
      <c r="I62" s="72"/>
      <c r="J62" s="72"/>
      <c r="K62" s="36"/>
      <c r="L62" s="79">
        <v>62</v>
      </c>
      <c r="M62" s="79"/>
      <c r="N62" s="74"/>
      <c r="O62" s="81" t="s">
        <v>1235</v>
      </c>
    </row>
    <row r="63" spans="1:15" ht="15">
      <c r="A63" s="66" t="s">
        <v>182</v>
      </c>
      <c r="B63" s="66" t="s">
        <v>236</v>
      </c>
      <c r="C63" s="67"/>
      <c r="D63" s="68"/>
      <c r="E63" s="69"/>
      <c r="F63" s="70"/>
      <c r="G63" s="67"/>
      <c r="H63" s="71"/>
      <c r="I63" s="72"/>
      <c r="J63" s="72"/>
      <c r="K63" s="36"/>
      <c r="L63" s="79">
        <v>63</v>
      </c>
      <c r="M63" s="79"/>
      <c r="N63" s="74"/>
      <c r="O63" s="81" t="s">
        <v>1235</v>
      </c>
    </row>
    <row r="64" spans="1:15" ht="15">
      <c r="A64" s="66" t="s">
        <v>183</v>
      </c>
      <c r="B64" s="66" t="s">
        <v>273</v>
      </c>
      <c r="C64" s="67"/>
      <c r="D64" s="68"/>
      <c r="E64" s="69"/>
      <c r="F64" s="70"/>
      <c r="G64" s="67"/>
      <c r="H64" s="71"/>
      <c r="I64" s="72"/>
      <c r="J64" s="72"/>
      <c r="K64" s="36"/>
      <c r="L64" s="79">
        <v>64</v>
      </c>
      <c r="M64" s="79"/>
      <c r="N64" s="74"/>
      <c r="O64" s="81" t="s">
        <v>1235</v>
      </c>
    </row>
    <row r="65" spans="1:15" ht="15">
      <c r="A65" s="66" t="s">
        <v>183</v>
      </c>
      <c r="B65" s="66" t="s">
        <v>274</v>
      </c>
      <c r="C65" s="67"/>
      <c r="D65" s="68"/>
      <c r="E65" s="69"/>
      <c r="F65" s="70"/>
      <c r="G65" s="67"/>
      <c r="H65" s="71"/>
      <c r="I65" s="72"/>
      <c r="J65" s="72"/>
      <c r="K65" s="36"/>
      <c r="L65" s="79">
        <v>65</v>
      </c>
      <c r="M65" s="79"/>
      <c r="N65" s="74"/>
      <c r="O65" s="81" t="s">
        <v>1235</v>
      </c>
    </row>
    <row r="66" spans="1:15" ht="15">
      <c r="A66" s="66" t="s">
        <v>183</v>
      </c>
      <c r="B66" s="66" t="s">
        <v>275</v>
      </c>
      <c r="C66" s="67"/>
      <c r="D66" s="68"/>
      <c r="E66" s="69"/>
      <c r="F66" s="70"/>
      <c r="G66" s="67"/>
      <c r="H66" s="71"/>
      <c r="I66" s="72"/>
      <c r="J66" s="72"/>
      <c r="K66" s="36"/>
      <c r="L66" s="79">
        <v>66</v>
      </c>
      <c r="M66" s="79"/>
      <c r="N66" s="74"/>
      <c r="O66" s="81" t="s">
        <v>1235</v>
      </c>
    </row>
    <row r="67" spans="1:15" ht="15">
      <c r="A67" s="66" t="s">
        <v>183</v>
      </c>
      <c r="B67" s="66" t="s">
        <v>276</v>
      </c>
      <c r="C67" s="67"/>
      <c r="D67" s="68"/>
      <c r="E67" s="69"/>
      <c r="F67" s="70"/>
      <c r="G67" s="67"/>
      <c r="H67" s="71"/>
      <c r="I67" s="72"/>
      <c r="J67" s="72"/>
      <c r="K67" s="36"/>
      <c r="L67" s="79">
        <v>67</v>
      </c>
      <c r="M67" s="79"/>
      <c r="N67" s="74"/>
      <c r="O67" s="81" t="s">
        <v>1235</v>
      </c>
    </row>
    <row r="68" spans="1:15" ht="15">
      <c r="A68" s="66" t="s">
        <v>179</v>
      </c>
      <c r="B68" s="66" t="s">
        <v>277</v>
      </c>
      <c r="C68" s="67"/>
      <c r="D68" s="68"/>
      <c r="E68" s="69"/>
      <c r="F68" s="70"/>
      <c r="G68" s="67"/>
      <c r="H68" s="71"/>
      <c r="I68" s="72"/>
      <c r="J68" s="72"/>
      <c r="K68" s="36"/>
      <c r="L68" s="79">
        <v>68</v>
      </c>
      <c r="M68" s="79"/>
      <c r="N68" s="74"/>
      <c r="O68" s="81" t="s">
        <v>1235</v>
      </c>
    </row>
    <row r="69" spans="1:15" ht="15">
      <c r="A69" s="66" t="s">
        <v>183</v>
      </c>
      <c r="B69" s="66" t="s">
        <v>277</v>
      </c>
      <c r="C69" s="67"/>
      <c r="D69" s="68"/>
      <c r="E69" s="69"/>
      <c r="F69" s="70"/>
      <c r="G69" s="67"/>
      <c r="H69" s="71"/>
      <c r="I69" s="72"/>
      <c r="J69" s="72"/>
      <c r="K69" s="36"/>
      <c r="L69" s="79">
        <v>69</v>
      </c>
      <c r="M69" s="79"/>
      <c r="N69" s="74"/>
      <c r="O69" s="81" t="s">
        <v>1235</v>
      </c>
    </row>
    <row r="70" spans="1:15" ht="15">
      <c r="A70" s="66" t="s">
        <v>183</v>
      </c>
      <c r="B70" s="66" t="s">
        <v>278</v>
      </c>
      <c r="C70" s="67"/>
      <c r="D70" s="68"/>
      <c r="E70" s="69"/>
      <c r="F70" s="70"/>
      <c r="G70" s="67"/>
      <c r="H70" s="71"/>
      <c r="I70" s="72"/>
      <c r="J70" s="72"/>
      <c r="K70" s="36"/>
      <c r="L70" s="79">
        <v>70</v>
      </c>
      <c r="M70" s="79"/>
      <c r="N70" s="74"/>
      <c r="O70" s="81" t="s">
        <v>1235</v>
      </c>
    </row>
    <row r="71" spans="1:15" ht="15">
      <c r="A71" s="66" t="s">
        <v>183</v>
      </c>
      <c r="B71" s="66" t="s">
        <v>279</v>
      </c>
      <c r="C71" s="67"/>
      <c r="D71" s="68"/>
      <c r="E71" s="69"/>
      <c r="F71" s="70"/>
      <c r="G71" s="67"/>
      <c r="H71" s="71"/>
      <c r="I71" s="72"/>
      <c r="J71" s="72"/>
      <c r="K71" s="36"/>
      <c r="L71" s="79">
        <v>71</v>
      </c>
      <c r="M71" s="79"/>
      <c r="N71" s="74"/>
      <c r="O71" s="81" t="s">
        <v>1235</v>
      </c>
    </row>
    <row r="72" spans="1:15" ht="15">
      <c r="A72" s="66" t="s">
        <v>183</v>
      </c>
      <c r="B72" s="66" t="s">
        <v>280</v>
      </c>
      <c r="C72" s="67"/>
      <c r="D72" s="68"/>
      <c r="E72" s="69"/>
      <c r="F72" s="70"/>
      <c r="G72" s="67"/>
      <c r="H72" s="71"/>
      <c r="I72" s="72"/>
      <c r="J72" s="72"/>
      <c r="K72" s="36"/>
      <c r="L72" s="79">
        <v>72</v>
      </c>
      <c r="M72" s="79"/>
      <c r="N72" s="74"/>
      <c r="O72" s="81" t="s">
        <v>1235</v>
      </c>
    </row>
    <row r="73" spans="1:15" ht="15">
      <c r="A73" s="66" t="s">
        <v>183</v>
      </c>
      <c r="B73" s="66" t="s">
        <v>281</v>
      </c>
      <c r="C73" s="67"/>
      <c r="D73" s="68"/>
      <c r="E73" s="69"/>
      <c r="F73" s="70"/>
      <c r="G73" s="67"/>
      <c r="H73" s="71"/>
      <c r="I73" s="72"/>
      <c r="J73" s="72"/>
      <c r="K73" s="36"/>
      <c r="L73" s="79">
        <v>73</v>
      </c>
      <c r="M73" s="79"/>
      <c r="N73" s="74"/>
      <c r="O73" s="81" t="s">
        <v>1235</v>
      </c>
    </row>
    <row r="74" spans="1:15" ht="15">
      <c r="A74" s="66" t="s">
        <v>183</v>
      </c>
      <c r="B74" s="66" t="s">
        <v>282</v>
      </c>
      <c r="C74" s="67"/>
      <c r="D74" s="68"/>
      <c r="E74" s="69"/>
      <c r="F74" s="70"/>
      <c r="G74" s="67"/>
      <c r="H74" s="71"/>
      <c r="I74" s="72"/>
      <c r="J74" s="72"/>
      <c r="K74" s="36"/>
      <c r="L74" s="79">
        <v>74</v>
      </c>
      <c r="M74" s="79"/>
      <c r="N74" s="74"/>
      <c r="O74" s="81" t="s">
        <v>1235</v>
      </c>
    </row>
    <row r="75" spans="1:15" ht="15">
      <c r="A75" s="66" t="s">
        <v>183</v>
      </c>
      <c r="B75" s="66" t="s">
        <v>283</v>
      </c>
      <c r="C75" s="67"/>
      <c r="D75" s="68"/>
      <c r="E75" s="69"/>
      <c r="F75" s="70"/>
      <c r="G75" s="67"/>
      <c r="H75" s="71"/>
      <c r="I75" s="72"/>
      <c r="J75" s="72"/>
      <c r="K75" s="36"/>
      <c r="L75" s="79">
        <v>75</v>
      </c>
      <c r="M75" s="79"/>
      <c r="N75" s="74"/>
      <c r="O75" s="81" t="s">
        <v>1235</v>
      </c>
    </row>
    <row r="76" spans="1:15" ht="15">
      <c r="A76" s="66" t="s">
        <v>183</v>
      </c>
      <c r="B76" s="66" t="s">
        <v>284</v>
      </c>
      <c r="C76" s="67"/>
      <c r="D76" s="68"/>
      <c r="E76" s="69"/>
      <c r="F76" s="70"/>
      <c r="G76" s="67"/>
      <c r="H76" s="71"/>
      <c r="I76" s="72"/>
      <c r="J76" s="72"/>
      <c r="K76" s="36"/>
      <c r="L76" s="79">
        <v>76</v>
      </c>
      <c r="M76" s="79"/>
      <c r="N76" s="74"/>
      <c r="O76" s="81" t="s">
        <v>1235</v>
      </c>
    </row>
    <row r="77" spans="1:15" ht="15">
      <c r="A77" s="66" t="s">
        <v>183</v>
      </c>
      <c r="B77" s="66" t="s">
        <v>285</v>
      </c>
      <c r="C77" s="67"/>
      <c r="D77" s="68"/>
      <c r="E77" s="69"/>
      <c r="F77" s="70"/>
      <c r="G77" s="67"/>
      <c r="H77" s="71"/>
      <c r="I77" s="72"/>
      <c r="J77" s="72"/>
      <c r="K77" s="36"/>
      <c r="L77" s="79">
        <v>77</v>
      </c>
      <c r="M77" s="79"/>
      <c r="N77" s="74"/>
      <c r="O77" s="81" t="s">
        <v>1235</v>
      </c>
    </row>
    <row r="78" spans="1:15" ht="15">
      <c r="A78" s="66" t="s">
        <v>183</v>
      </c>
      <c r="B78" s="66" t="s">
        <v>206</v>
      </c>
      <c r="C78" s="67"/>
      <c r="D78" s="68"/>
      <c r="E78" s="69"/>
      <c r="F78" s="70"/>
      <c r="G78" s="67"/>
      <c r="H78" s="71"/>
      <c r="I78" s="72"/>
      <c r="J78" s="72"/>
      <c r="K78" s="36"/>
      <c r="L78" s="79">
        <v>78</v>
      </c>
      <c r="M78" s="79"/>
      <c r="N78" s="74"/>
      <c r="O78" s="81" t="s">
        <v>1235</v>
      </c>
    </row>
    <row r="79" spans="1:15" ht="15">
      <c r="A79" s="66" t="s">
        <v>183</v>
      </c>
      <c r="B79" s="66" t="s">
        <v>286</v>
      </c>
      <c r="C79" s="67"/>
      <c r="D79" s="68"/>
      <c r="E79" s="69"/>
      <c r="F79" s="70"/>
      <c r="G79" s="67"/>
      <c r="H79" s="71"/>
      <c r="I79" s="72"/>
      <c r="J79" s="72"/>
      <c r="K79" s="36"/>
      <c r="L79" s="79">
        <v>79</v>
      </c>
      <c r="M79" s="79"/>
      <c r="N79" s="74"/>
      <c r="O79" s="81" t="s">
        <v>1235</v>
      </c>
    </row>
    <row r="80" spans="1:15" ht="15">
      <c r="A80" s="66" t="s">
        <v>183</v>
      </c>
      <c r="B80" s="66" t="s">
        <v>287</v>
      </c>
      <c r="C80" s="67"/>
      <c r="D80" s="68"/>
      <c r="E80" s="69"/>
      <c r="F80" s="70"/>
      <c r="G80" s="67"/>
      <c r="H80" s="71"/>
      <c r="I80" s="72"/>
      <c r="J80" s="72"/>
      <c r="K80" s="36"/>
      <c r="L80" s="79">
        <v>80</v>
      </c>
      <c r="M80" s="79"/>
      <c r="N80" s="74"/>
      <c r="O80" s="81" t="s">
        <v>1235</v>
      </c>
    </row>
    <row r="81" spans="1:15" ht="15">
      <c r="A81" s="66" t="s">
        <v>183</v>
      </c>
      <c r="B81" s="66" t="s">
        <v>288</v>
      </c>
      <c r="C81" s="67"/>
      <c r="D81" s="68"/>
      <c r="E81" s="69"/>
      <c r="F81" s="70"/>
      <c r="G81" s="67"/>
      <c r="H81" s="71"/>
      <c r="I81" s="72"/>
      <c r="J81" s="72"/>
      <c r="K81" s="36"/>
      <c r="L81" s="79">
        <v>81</v>
      </c>
      <c r="M81" s="79"/>
      <c r="N81" s="74"/>
      <c r="O81" s="81" t="s">
        <v>1235</v>
      </c>
    </row>
    <row r="82" spans="1:15" ht="15">
      <c r="A82" s="66" t="s">
        <v>183</v>
      </c>
      <c r="B82" s="66" t="s">
        <v>289</v>
      </c>
      <c r="C82" s="67"/>
      <c r="D82" s="68"/>
      <c r="E82" s="69"/>
      <c r="F82" s="70"/>
      <c r="G82" s="67"/>
      <c r="H82" s="71"/>
      <c r="I82" s="72"/>
      <c r="J82" s="72"/>
      <c r="K82" s="36"/>
      <c r="L82" s="79">
        <v>82</v>
      </c>
      <c r="M82" s="79"/>
      <c r="N82" s="74"/>
      <c r="O82" s="81" t="s">
        <v>1235</v>
      </c>
    </row>
    <row r="83" spans="1:15" ht="15">
      <c r="A83" s="66" t="s">
        <v>183</v>
      </c>
      <c r="B83" s="66" t="s">
        <v>290</v>
      </c>
      <c r="C83" s="67"/>
      <c r="D83" s="68"/>
      <c r="E83" s="69"/>
      <c r="F83" s="70"/>
      <c r="G83" s="67"/>
      <c r="H83" s="71"/>
      <c r="I83" s="72"/>
      <c r="J83" s="72"/>
      <c r="K83" s="36"/>
      <c r="L83" s="79">
        <v>83</v>
      </c>
      <c r="M83" s="79"/>
      <c r="N83" s="74"/>
      <c r="O83" s="81" t="s">
        <v>1235</v>
      </c>
    </row>
    <row r="84" spans="1:15" ht="15">
      <c r="A84" s="66" t="s">
        <v>183</v>
      </c>
      <c r="B84" s="66" t="s">
        <v>291</v>
      </c>
      <c r="C84" s="67"/>
      <c r="D84" s="68"/>
      <c r="E84" s="69"/>
      <c r="F84" s="70"/>
      <c r="G84" s="67"/>
      <c r="H84" s="71"/>
      <c r="I84" s="72"/>
      <c r="J84" s="72"/>
      <c r="K84" s="36"/>
      <c r="L84" s="79">
        <v>84</v>
      </c>
      <c r="M84" s="79"/>
      <c r="N84" s="74"/>
      <c r="O84" s="81" t="s">
        <v>1235</v>
      </c>
    </row>
    <row r="85" spans="1:15" ht="15">
      <c r="A85" s="66" t="s">
        <v>183</v>
      </c>
      <c r="B85" s="66" t="s">
        <v>292</v>
      </c>
      <c r="C85" s="67"/>
      <c r="D85" s="68"/>
      <c r="E85" s="69"/>
      <c r="F85" s="70"/>
      <c r="G85" s="67"/>
      <c r="H85" s="71"/>
      <c r="I85" s="72"/>
      <c r="J85" s="72"/>
      <c r="K85" s="36"/>
      <c r="L85" s="79">
        <v>85</v>
      </c>
      <c r="M85" s="79"/>
      <c r="N85" s="74"/>
      <c r="O85" s="81" t="s">
        <v>1235</v>
      </c>
    </row>
    <row r="86" spans="1:15" ht="15">
      <c r="A86" s="66" t="s">
        <v>183</v>
      </c>
      <c r="B86" s="66" t="s">
        <v>293</v>
      </c>
      <c r="C86" s="67"/>
      <c r="D86" s="68"/>
      <c r="E86" s="69"/>
      <c r="F86" s="70"/>
      <c r="G86" s="67"/>
      <c r="H86" s="71"/>
      <c r="I86" s="72"/>
      <c r="J86" s="72"/>
      <c r="K86" s="36"/>
      <c r="L86" s="79">
        <v>86</v>
      </c>
      <c r="M86" s="79"/>
      <c r="N86" s="74"/>
      <c r="O86" s="81" t="s">
        <v>1235</v>
      </c>
    </row>
    <row r="87" spans="1:15" ht="15">
      <c r="A87" s="66" t="s">
        <v>183</v>
      </c>
      <c r="B87" s="66" t="s">
        <v>294</v>
      </c>
      <c r="C87" s="67"/>
      <c r="D87" s="68"/>
      <c r="E87" s="69"/>
      <c r="F87" s="70"/>
      <c r="G87" s="67"/>
      <c r="H87" s="71"/>
      <c r="I87" s="72"/>
      <c r="J87" s="72"/>
      <c r="K87" s="36"/>
      <c r="L87" s="79">
        <v>87</v>
      </c>
      <c r="M87" s="79"/>
      <c r="N87" s="74"/>
      <c r="O87" s="81" t="s">
        <v>1235</v>
      </c>
    </row>
    <row r="88" spans="1:15" ht="15">
      <c r="A88" s="66" t="s">
        <v>183</v>
      </c>
      <c r="B88" s="66" t="s">
        <v>179</v>
      </c>
      <c r="C88" s="67"/>
      <c r="D88" s="68"/>
      <c r="E88" s="69"/>
      <c r="F88" s="70"/>
      <c r="G88" s="67"/>
      <c r="H88" s="71"/>
      <c r="I88" s="72"/>
      <c r="J88" s="72"/>
      <c r="K88" s="36"/>
      <c r="L88" s="79">
        <v>88</v>
      </c>
      <c r="M88" s="79"/>
      <c r="N88" s="74"/>
      <c r="O88" s="81" t="s">
        <v>1235</v>
      </c>
    </row>
    <row r="89" spans="1:15" ht="15">
      <c r="A89" s="66" t="s">
        <v>183</v>
      </c>
      <c r="B89" s="66" t="s">
        <v>227</v>
      </c>
      <c r="C89" s="67"/>
      <c r="D89" s="68"/>
      <c r="E89" s="69"/>
      <c r="F89" s="70"/>
      <c r="G89" s="67"/>
      <c r="H89" s="71"/>
      <c r="I89" s="72"/>
      <c r="J89" s="72"/>
      <c r="K89" s="36"/>
      <c r="L89" s="79">
        <v>89</v>
      </c>
      <c r="M89" s="79"/>
      <c r="N89" s="74"/>
      <c r="O89" s="81" t="s">
        <v>1235</v>
      </c>
    </row>
    <row r="90" spans="1:15" ht="15">
      <c r="A90" s="66" t="s">
        <v>183</v>
      </c>
      <c r="B90" s="66" t="s">
        <v>295</v>
      </c>
      <c r="C90" s="67"/>
      <c r="D90" s="68"/>
      <c r="E90" s="69"/>
      <c r="F90" s="70"/>
      <c r="G90" s="67"/>
      <c r="H90" s="71"/>
      <c r="I90" s="72"/>
      <c r="J90" s="72"/>
      <c r="K90" s="36"/>
      <c r="L90" s="79">
        <v>90</v>
      </c>
      <c r="M90" s="79"/>
      <c r="N90" s="74"/>
      <c r="O90" s="81" t="s">
        <v>1235</v>
      </c>
    </row>
    <row r="91" spans="1:15" ht="15">
      <c r="A91" s="66" t="s">
        <v>183</v>
      </c>
      <c r="B91" s="66" t="s">
        <v>225</v>
      </c>
      <c r="C91" s="67"/>
      <c r="D91" s="68"/>
      <c r="E91" s="69"/>
      <c r="F91" s="70"/>
      <c r="G91" s="67"/>
      <c r="H91" s="71"/>
      <c r="I91" s="72"/>
      <c r="J91" s="72"/>
      <c r="K91" s="36"/>
      <c r="L91" s="79">
        <v>91</v>
      </c>
      <c r="M91" s="79"/>
      <c r="N91" s="74"/>
      <c r="O91" s="81" t="s">
        <v>1235</v>
      </c>
    </row>
    <row r="92" spans="1:15" ht="15">
      <c r="A92" s="66" t="s">
        <v>183</v>
      </c>
      <c r="B92" s="66" t="s">
        <v>296</v>
      </c>
      <c r="C92" s="67"/>
      <c r="D92" s="68"/>
      <c r="E92" s="69"/>
      <c r="F92" s="70"/>
      <c r="G92" s="67"/>
      <c r="H92" s="71"/>
      <c r="I92" s="72"/>
      <c r="J92" s="72"/>
      <c r="K92" s="36"/>
      <c r="L92" s="79">
        <v>92</v>
      </c>
      <c r="M92" s="79"/>
      <c r="N92" s="74"/>
      <c r="O92" s="81" t="s">
        <v>1235</v>
      </c>
    </row>
    <row r="93" spans="1:15" ht="15">
      <c r="A93" s="66" t="s">
        <v>183</v>
      </c>
      <c r="B93" s="66" t="s">
        <v>221</v>
      </c>
      <c r="C93" s="67"/>
      <c r="D93" s="68"/>
      <c r="E93" s="69"/>
      <c r="F93" s="70"/>
      <c r="G93" s="67"/>
      <c r="H93" s="71"/>
      <c r="I93" s="72"/>
      <c r="J93" s="72"/>
      <c r="K93" s="36"/>
      <c r="L93" s="79">
        <v>93</v>
      </c>
      <c r="M93" s="79"/>
      <c r="N93" s="74"/>
      <c r="O93" s="81" t="s">
        <v>1235</v>
      </c>
    </row>
    <row r="94" spans="1:15" ht="15">
      <c r="A94" s="66" t="s">
        <v>184</v>
      </c>
      <c r="B94" s="66" t="s">
        <v>297</v>
      </c>
      <c r="C94" s="67"/>
      <c r="D94" s="68"/>
      <c r="E94" s="69"/>
      <c r="F94" s="70"/>
      <c r="G94" s="67"/>
      <c r="H94" s="71"/>
      <c r="I94" s="72"/>
      <c r="J94" s="72"/>
      <c r="K94" s="36"/>
      <c r="L94" s="79">
        <v>94</v>
      </c>
      <c r="M94" s="79"/>
      <c r="N94" s="74"/>
      <c r="O94" s="81" t="s">
        <v>1235</v>
      </c>
    </row>
    <row r="95" spans="1:15" ht="15">
      <c r="A95" s="66" t="s">
        <v>184</v>
      </c>
      <c r="B95" s="66" t="s">
        <v>298</v>
      </c>
      <c r="C95" s="67"/>
      <c r="D95" s="68"/>
      <c r="E95" s="69"/>
      <c r="F95" s="70"/>
      <c r="G95" s="67"/>
      <c r="H95" s="71"/>
      <c r="I95" s="72"/>
      <c r="J95" s="72"/>
      <c r="K95" s="36"/>
      <c r="L95" s="79">
        <v>95</v>
      </c>
      <c r="M95" s="79"/>
      <c r="N95" s="74"/>
      <c r="O95" s="81" t="s">
        <v>1235</v>
      </c>
    </row>
    <row r="96" spans="1:15" ht="15">
      <c r="A96" s="66" t="s">
        <v>184</v>
      </c>
      <c r="B96" s="66" t="s">
        <v>299</v>
      </c>
      <c r="C96" s="67"/>
      <c r="D96" s="68"/>
      <c r="E96" s="69"/>
      <c r="F96" s="70"/>
      <c r="G96" s="67"/>
      <c r="H96" s="71"/>
      <c r="I96" s="72"/>
      <c r="J96" s="72"/>
      <c r="K96" s="36"/>
      <c r="L96" s="79">
        <v>96</v>
      </c>
      <c r="M96" s="79"/>
      <c r="N96" s="74"/>
      <c r="O96" s="81" t="s">
        <v>1235</v>
      </c>
    </row>
    <row r="97" spans="1:15" ht="15">
      <c r="A97" s="66" t="s">
        <v>184</v>
      </c>
      <c r="B97" s="66" t="s">
        <v>300</v>
      </c>
      <c r="C97" s="67"/>
      <c r="D97" s="68"/>
      <c r="E97" s="69"/>
      <c r="F97" s="70"/>
      <c r="G97" s="67"/>
      <c r="H97" s="71"/>
      <c r="I97" s="72"/>
      <c r="J97" s="72"/>
      <c r="K97" s="36"/>
      <c r="L97" s="79">
        <v>97</v>
      </c>
      <c r="M97" s="79"/>
      <c r="N97" s="74"/>
      <c r="O97" s="81" t="s">
        <v>1235</v>
      </c>
    </row>
    <row r="98" spans="1:15" ht="15">
      <c r="A98" s="66" t="s">
        <v>184</v>
      </c>
      <c r="B98" s="66" t="s">
        <v>301</v>
      </c>
      <c r="C98" s="67"/>
      <c r="D98" s="68"/>
      <c r="E98" s="69"/>
      <c r="F98" s="70"/>
      <c r="G98" s="67"/>
      <c r="H98" s="71"/>
      <c r="I98" s="72"/>
      <c r="J98" s="72"/>
      <c r="K98" s="36"/>
      <c r="L98" s="79">
        <v>98</v>
      </c>
      <c r="M98" s="79"/>
      <c r="N98" s="74"/>
      <c r="O98" s="81" t="s">
        <v>1235</v>
      </c>
    </row>
    <row r="99" spans="1:15" ht="15">
      <c r="A99" s="66" t="s">
        <v>184</v>
      </c>
      <c r="B99" s="66" t="s">
        <v>302</v>
      </c>
      <c r="C99" s="67"/>
      <c r="D99" s="68"/>
      <c r="E99" s="69"/>
      <c r="F99" s="70"/>
      <c r="G99" s="67"/>
      <c r="H99" s="71"/>
      <c r="I99" s="72"/>
      <c r="J99" s="72"/>
      <c r="K99" s="36"/>
      <c r="L99" s="79">
        <v>99</v>
      </c>
      <c r="M99" s="79"/>
      <c r="N99" s="74"/>
      <c r="O99" s="81" t="s">
        <v>1235</v>
      </c>
    </row>
    <row r="100" spans="1:15" ht="15">
      <c r="A100" s="66" t="s">
        <v>184</v>
      </c>
      <c r="B100" s="66" t="s">
        <v>303</v>
      </c>
      <c r="C100" s="67"/>
      <c r="D100" s="68"/>
      <c r="E100" s="69"/>
      <c r="F100" s="70"/>
      <c r="G100" s="67"/>
      <c r="H100" s="71"/>
      <c r="I100" s="72"/>
      <c r="J100" s="72"/>
      <c r="K100" s="36"/>
      <c r="L100" s="79">
        <v>100</v>
      </c>
      <c r="M100" s="79"/>
      <c r="N100" s="74"/>
      <c r="O100" s="81" t="s">
        <v>1235</v>
      </c>
    </row>
    <row r="101" spans="1:15" ht="15">
      <c r="A101" s="66" t="s">
        <v>184</v>
      </c>
      <c r="B101" s="66" t="s">
        <v>304</v>
      </c>
      <c r="C101" s="67"/>
      <c r="D101" s="68"/>
      <c r="E101" s="69"/>
      <c r="F101" s="70"/>
      <c r="G101" s="67"/>
      <c r="H101" s="71"/>
      <c r="I101" s="72"/>
      <c r="J101" s="72"/>
      <c r="K101" s="36"/>
      <c r="L101" s="79">
        <v>101</v>
      </c>
      <c r="M101" s="79"/>
      <c r="N101" s="74"/>
      <c r="O101" s="81" t="s">
        <v>1235</v>
      </c>
    </row>
    <row r="102" spans="1:15" ht="15">
      <c r="A102" s="66" t="s">
        <v>184</v>
      </c>
      <c r="B102" s="66" t="s">
        <v>305</v>
      </c>
      <c r="C102" s="67"/>
      <c r="D102" s="68"/>
      <c r="E102" s="69"/>
      <c r="F102" s="70"/>
      <c r="G102" s="67"/>
      <c r="H102" s="71"/>
      <c r="I102" s="72"/>
      <c r="J102" s="72"/>
      <c r="K102" s="36"/>
      <c r="L102" s="79">
        <v>102</v>
      </c>
      <c r="M102" s="79"/>
      <c r="N102" s="74"/>
      <c r="O102" s="81" t="s">
        <v>1235</v>
      </c>
    </row>
    <row r="103" spans="1:15" ht="15">
      <c r="A103" s="66" t="s">
        <v>184</v>
      </c>
      <c r="B103" s="66" t="s">
        <v>306</v>
      </c>
      <c r="C103" s="67"/>
      <c r="D103" s="68"/>
      <c r="E103" s="69"/>
      <c r="F103" s="70"/>
      <c r="G103" s="67"/>
      <c r="H103" s="71"/>
      <c r="I103" s="72"/>
      <c r="J103" s="72"/>
      <c r="K103" s="36"/>
      <c r="L103" s="79">
        <v>103</v>
      </c>
      <c r="M103" s="79"/>
      <c r="N103" s="74"/>
      <c r="O103" s="81" t="s">
        <v>1235</v>
      </c>
    </row>
    <row r="104" spans="1:15" ht="15">
      <c r="A104" s="66" t="s">
        <v>184</v>
      </c>
      <c r="B104" s="66" t="s">
        <v>307</v>
      </c>
      <c r="C104" s="67"/>
      <c r="D104" s="68"/>
      <c r="E104" s="69"/>
      <c r="F104" s="70"/>
      <c r="G104" s="67"/>
      <c r="H104" s="71"/>
      <c r="I104" s="72"/>
      <c r="J104" s="72"/>
      <c r="K104" s="36"/>
      <c r="L104" s="79">
        <v>104</v>
      </c>
      <c r="M104" s="79"/>
      <c r="N104" s="74"/>
      <c r="O104" s="81" t="s">
        <v>1235</v>
      </c>
    </row>
    <row r="105" spans="1:15" ht="15">
      <c r="A105" s="66" t="s">
        <v>184</v>
      </c>
      <c r="B105" s="66" t="s">
        <v>308</v>
      </c>
      <c r="C105" s="67"/>
      <c r="D105" s="68"/>
      <c r="E105" s="69"/>
      <c r="F105" s="70"/>
      <c r="G105" s="67"/>
      <c r="H105" s="71"/>
      <c r="I105" s="72"/>
      <c r="J105" s="72"/>
      <c r="K105" s="36"/>
      <c r="L105" s="79">
        <v>105</v>
      </c>
      <c r="M105" s="79"/>
      <c r="N105" s="74"/>
      <c r="O105" s="81" t="s">
        <v>1235</v>
      </c>
    </row>
    <row r="106" spans="1:15" ht="15">
      <c r="A106" s="66" t="s">
        <v>184</v>
      </c>
      <c r="B106" s="66" t="s">
        <v>309</v>
      </c>
      <c r="C106" s="67"/>
      <c r="D106" s="68"/>
      <c r="E106" s="69"/>
      <c r="F106" s="70"/>
      <c r="G106" s="67"/>
      <c r="H106" s="71"/>
      <c r="I106" s="72"/>
      <c r="J106" s="72"/>
      <c r="K106" s="36"/>
      <c r="L106" s="79">
        <v>106</v>
      </c>
      <c r="M106" s="79"/>
      <c r="N106" s="74"/>
      <c r="O106" s="81" t="s">
        <v>1235</v>
      </c>
    </row>
    <row r="107" spans="1:15" ht="15">
      <c r="A107" s="66" t="s">
        <v>184</v>
      </c>
      <c r="B107" s="66" t="s">
        <v>310</v>
      </c>
      <c r="C107" s="67"/>
      <c r="D107" s="68"/>
      <c r="E107" s="69"/>
      <c r="F107" s="70"/>
      <c r="G107" s="67"/>
      <c r="H107" s="71"/>
      <c r="I107" s="72"/>
      <c r="J107" s="72"/>
      <c r="K107" s="36"/>
      <c r="L107" s="79">
        <v>107</v>
      </c>
      <c r="M107" s="79"/>
      <c r="N107" s="74"/>
      <c r="O107" s="81" t="s">
        <v>1235</v>
      </c>
    </row>
    <row r="108" spans="1:15" ht="15">
      <c r="A108" s="66" t="s">
        <v>184</v>
      </c>
      <c r="B108" s="66" t="s">
        <v>311</v>
      </c>
      <c r="C108" s="67"/>
      <c r="D108" s="68"/>
      <c r="E108" s="69"/>
      <c r="F108" s="70"/>
      <c r="G108" s="67"/>
      <c r="H108" s="71"/>
      <c r="I108" s="72"/>
      <c r="J108" s="72"/>
      <c r="K108" s="36"/>
      <c r="L108" s="79">
        <v>108</v>
      </c>
      <c r="M108" s="79"/>
      <c r="N108" s="74"/>
      <c r="O108" s="81" t="s">
        <v>1235</v>
      </c>
    </row>
    <row r="109" spans="1:15" ht="15">
      <c r="A109" s="66" t="s">
        <v>184</v>
      </c>
      <c r="B109" s="66" t="s">
        <v>312</v>
      </c>
      <c r="C109" s="67"/>
      <c r="D109" s="68"/>
      <c r="E109" s="69"/>
      <c r="F109" s="70"/>
      <c r="G109" s="67"/>
      <c r="H109" s="71"/>
      <c r="I109" s="72"/>
      <c r="J109" s="72"/>
      <c r="K109" s="36"/>
      <c r="L109" s="79">
        <v>109</v>
      </c>
      <c r="M109" s="79"/>
      <c r="N109" s="74"/>
      <c r="O109" s="81" t="s">
        <v>1235</v>
      </c>
    </row>
    <row r="110" spans="1:15" ht="15">
      <c r="A110" s="66" t="s">
        <v>184</v>
      </c>
      <c r="B110" s="66" t="s">
        <v>313</v>
      </c>
      <c r="C110" s="67"/>
      <c r="D110" s="68"/>
      <c r="E110" s="69"/>
      <c r="F110" s="70"/>
      <c r="G110" s="67"/>
      <c r="H110" s="71"/>
      <c r="I110" s="72"/>
      <c r="J110" s="72"/>
      <c r="K110" s="36"/>
      <c r="L110" s="79">
        <v>110</v>
      </c>
      <c r="M110" s="79"/>
      <c r="N110" s="74"/>
      <c r="O110" s="81" t="s">
        <v>1235</v>
      </c>
    </row>
    <row r="111" spans="1:15" ht="15">
      <c r="A111" s="66" t="s">
        <v>185</v>
      </c>
      <c r="B111" s="66" t="s">
        <v>314</v>
      </c>
      <c r="C111" s="67"/>
      <c r="D111" s="68"/>
      <c r="E111" s="69"/>
      <c r="F111" s="70"/>
      <c r="G111" s="67"/>
      <c r="H111" s="71"/>
      <c r="I111" s="72"/>
      <c r="J111" s="72"/>
      <c r="K111" s="36"/>
      <c r="L111" s="79">
        <v>111</v>
      </c>
      <c r="M111" s="79"/>
      <c r="N111" s="74"/>
      <c r="O111" s="81" t="s">
        <v>1235</v>
      </c>
    </row>
    <row r="112" spans="1:15" ht="15">
      <c r="A112" s="66" t="s">
        <v>185</v>
      </c>
      <c r="B112" s="66" t="s">
        <v>315</v>
      </c>
      <c r="C112" s="67"/>
      <c r="D112" s="68"/>
      <c r="E112" s="69"/>
      <c r="F112" s="70"/>
      <c r="G112" s="67"/>
      <c r="H112" s="71"/>
      <c r="I112" s="72"/>
      <c r="J112" s="72"/>
      <c r="K112" s="36"/>
      <c r="L112" s="79">
        <v>112</v>
      </c>
      <c r="M112" s="79"/>
      <c r="N112" s="74"/>
      <c r="O112" s="81" t="s">
        <v>1235</v>
      </c>
    </row>
    <row r="113" spans="1:15" ht="15">
      <c r="A113" s="66" t="s">
        <v>185</v>
      </c>
      <c r="B113" s="66" t="s">
        <v>316</v>
      </c>
      <c r="C113" s="67"/>
      <c r="D113" s="68"/>
      <c r="E113" s="69"/>
      <c r="F113" s="70"/>
      <c r="G113" s="67"/>
      <c r="H113" s="71"/>
      <c r="I113" s="72"/>
      <c r="J113" s="72"/>
      <c r="K113" s="36"/>
      <c r="L113" s="79">
        <v>113</v>
      </c>
      <c r="M113" s="79"/>
      <c r="N113" s="74"/>
      <c r="O113" s="81" t="s">
        <v>1235</v>
      </c>
    </row>
    <row r="114" spans="1:15" ht="15">
      <c r="A114" s="66" t="s">
        <v>185</v>
      </c>
      <c r="B114" s="66" t="s">
        <v>231</v>
      </c>
      <c r="C114" s="67"/>
      <c r="D114" s="68"/>
      <c r="E114" s="69"/>
      <c r="F114" s="70"/>
      <c r="G114" s="67"/>
      <c r="H114" s="71"/>
      <c r="I114" s="72"/>
      <c r="J114" s="72"/>
      <c r="K114" s="36"/>
      <c r="L114" s="79">
        <v>114</v>
      </c>
      <c r="M114" s="79"/>
      <c r="N114" s="74"/>
      <c r="O114" s="81" t="s">
        <v>1235</v>
      </c>
    </row>
    <row r="115" spans="1:15" ht="15">
      <c r="A115" s="66" t="s">
        <v>185</v>
      </c>
      <c r="B115" s="66" t="s">
        <v>228</v>
      </c>
      <c r="C115" s="67"/>
      <c r="D115" s="68"/>
      <c r="E115" s="69"/>
      <c r="F115" s="70"/>
      <c r="G115" s="67"/>
      <c r="H115" s="71"/>
      <c r="I115" s="72"/>
      <c r="J115" s="72"/>
      <c r="K115" s="36"/>
      <c r="L115" s="79">
        <v>115</v>
      </c>
      <c r="M115" s="79"/>
      <c r="N115" s="74"/>
      <c r="O115" s="81" t="s">
        <v>1235</v>
      </c>
    </row>
    <row r="116" spans="1:15" ht="15">
      <c r="A116" s="66" t="s">
        <v>185</v>
      </c>
      <c r="B116" s="66" t="s">
        <v>317</v>
      </c>
      <c r="C116" s="67"/>
      <c r="D116" s="68"/>
      <c r="E116" s="69"/>
      <c r="F116" s="70"/>
      <c r="G116" s="67"/>
      <c r="H116" s="71"/>
      <c r="I116" s="72"/>
      <c r="J116" s="72"/>
      <c r="K116" s="36"/>
      <c r="L116" s="79">
        <v>116</v>
      </c>
      <c r="M116" s="79"/>
      <c r="N116" s="74"/>
      <c r="O116" s="81" t="s">
        <v>1235</v>
      </c>
    </row>
    <row r="117" spans="1:15" ht="15">
      <c r="A117" s="66" t="s">
        <v>185</v>
      </c>
      <c r="B117" s="66" t="s">
        <v>318</v>
      </c>
      <c r="C117" s="67"/>
      <c r="D117" s="68"/>
      <c r="E117" s="69"/>
      <c r="F117" s="70"/>
      <c r="G117" s="67"/>
      <c r="H117" s="71"/>
      <c r="I117" s="72"/>
      <c r="J117" s="72"/>
      <c r="K117" s="36"/>
      <c r="L117" s="79">
        <v>117</v>
      </c>
      <c r="M117" s="79"/>
      <c r="N117" s="74"/>
      <c r="O117" s="81" t="s">
        <v>1235</v>
      </c>
    </row>
    <row r="118" spans="1:15" ht="15">
      <c r="A118" s="66" t="s">
        <v>185</v>
      </c>
      <c r="B118" s="66" t="s">
        <v>238</v>
      </c>
      <c r="C118" s="67"/>
      <c r="D118" s="68"/>
      <c r="E118" s="69"/>
      <c r="F118" s="70"/>
      <c r="G118" s="67"/>
      <c r="H118" s="71"/>
      <c r="I118" s="72"/>
      <c r="J118" s="72"/>
      <c r="K118" s="36"/>
      <c r="L118" s="79">
        <v>118</v>
      </c>
      <c r="M118" s="79"/>
      <c r="N118" s="74"/>
      <c r="O118" s="81" t="s">
        <v>1235</v>
      </c>
    </row>
    <row r="119" spans="1:15" ht="15">
      <c r="A119" s="66" t="s">
        <v>185</v>
      </c>
      <c r="B119" s="66" t="s">
        <v>271</v>
      </c>
      <c r="C119" s="67"/>
      <c r="D119" s="68"/>
      <c r="E119" s="69"/>
      <c r="F119" s="70"/>
      <c r="G119" s="67"/>
      <c r="H119" s="71"/>
      <c r="I119" s="72"/>
      <c r="J119" s="72"/>
      <c r="K119" s="36"/>
      <c r="L119" s="79">
        <v>119</v>
      </c>
      <c r="M119" s="79"/>
      <c r="N119" s="74"/>
      <c r="O119" s="81" t="s">
        <v>1235</v>
      </c>
    </row>
    <row r="120" spans="1:15" ht="15">
      <c r="A120" s="66" t="s">
        <v>185</v>
      </c>
      <c r="B120" s="66" t="s">
        <v>234</v>
      </c>
      <c r="C120" s="67"/>
      <c r="D120" s="68"/>
      <c r="E120" s="69"/>
      <c r="F120" s="70"/>
      <c r="G120" s="67"/>
      <c r="H120" s="71"/>
      <c r="I120" s="72"/>
      <c r="J120" s="72"/>
      <c r="K120" s="36"/>
      <c r="L120" s="79">
        <v>120</v>
      </c>
      <c r="M120" s="79"/>
      <c r="N120" s="74"/>
      <c r="O120" s="81" t="s">
        <v>1235</v>
      </c>
    </row>
    <row r="121" spans="1:15" ht="15">
      <c r="A121" s="66" t="s">
        <v>185</v>
      </c>
      <c r="B121" s="66" t="s">
        <v>236</v>
      </c>
      <c r="C121" s="67"/>
      <c r="D121" s="68"/>
      <c r="E121" s="69"/>
      <c r="F121" s="70"/>
      <c r="G121" s="67"/>
      <c r="H121" s="71"/>
      <c r="I121" s="72"/>
      <c r="J121" s="72"/>
      <c r="K121" s="36"/>
      <c r="L121" s="79">
        <v>121</v>
      </c>
      <c r="M121" s="79"/>
      <c r="N121" s="74"/>
      <c r="O121" s="81" t="s">
        <v>1235</v>
      </c>
    </row>
    <row r="122" spans="1:15" ht="15">
      <c r="A122" s="66" t="s">
        <v>185</v>
      </c>
      <c r="B122" s="66" t="s">
        <v>233</v>
      </c>
      <c r="C122" s="67"/>
      <c r="D122" s="68"/>
      <c r="E122" s="69"/>
      <c r="F122" s="70"/>
      <c r="G122" s="67"/>
      <c r="H122" s="71"/>
      <c r="I122" s="72"/>
      <c r="J122" s="72"/>
      <c r="K122" s="36"/>
      <c r="L122" s="79">
        <v>122</v>
      </c>
      <c r="M122" s="79"/>
      <c r="N122" s="74"/>
      <c r="O122" s="81" t="s">
        <v>1235</v>
      </c>
    </row>
    <row r="123" spans="1:15" ht="15">
      <c r="A123" s="66" t="s">
        <v>185</v>
      </c>
      <c r="B123" s="66" t="s">
        <v>319</v>
      </c>
      <c r="C123" s="67"/>
      <c r="D123" s="68"/>
      <c r="E123" s="69"/>
      <c r="F123" s="70"/>
      <c r="G123" s="67"/>
      <c r="H123" s="71"/>
      <c r="I123" s="72"/>
      <c r="J123" s="72"/>
      <c r="K123" s="36"/>
      <c r="L123" s="79">
        <v>123</v>
      </c>
      <c r="M123" s="79"/>
      <c r="N123" s="74"/>
      <c r="O123" s="81" t="s">
        <v>1235</v>
      </c>
    </row>
    <row r="124" spans="1:15" ht="15">
      <c r="A124" s="66" t="s">
        <v>185</v>
      </c>
      <c r="B124" s="66" t="s">
        <v>320</v>
      </c>
      <c r="C124" s="67"/>
      <c r="D124" s="68"/>
      <c r="E124" s="69"/>
      <c r="F124" s="70"/>
      <c r="G124" s="67"/>
      <c r="H124" s="71"/>
      <c r="I124" s="72"/>
      <c r="J124" s="72"/>
      <c r="K124" s="36"/>
      <c r="L124" s="79">
        <v>124</v>
      </c>
      <c r="M124" s="79"/>
      <c r="N124" s="74"/>
      <c r="O124" s="81" t="s">
        <v>1235</v>
      </c>
    </row>
    <row r="125" spans="1:15" ht="15">
      <c r="A125" s="66" t="s">
        <v>185</v>
      </c>
      <c r="B125" s="66" t="s">
        <v>208</v>
      </c>
      <c r="C125" s="67"/>
      <c r="D125" s="68"/>
      <c r="E125" s="69"/>
      <c r="F125" s="70"/>
      <c r="G125" s="67"/>
      <c r="H125" s="71"/>
      <c r="I125" s="72"/>
      <c r="J125" s="72"/>
      <c r="K125" s="36"/>
      <c r="L125" s="79">
        <v>125</v>
      </c>
      <c r="M125" s="79"/>
      <c r="N125" s="74"/>
      <c r="O125" s="81" t="s">
        <v>1235</v>
      </c>
    </row>
    <row r="126" spans="1:15" ht="15">
      <c r="A126" s="66" t="s">
        <v>185</v>
      </c>
      <c r="B126" s="66" t="s">
        <v>321</v>
      </c>
      <c r="C126" s="67"/>
      <c r="D126" s="68"/>
      <c r="E126" s="69"/>
      <c r="F126" s="70"/>
      <c r="G126" s="67"/>
      <c r="H126" s="71"/>
      <c r="I126" s="72"/>
      <c r="J126" s="72"/>
      <c r="K126" s="36"/>
      <c r="L126" s="79">
        <v>126</v>
      </c>
      <c r="M126" s="79"/>
      <c r="N126" s="74"/>
      <c r="O126" s="81" t="s">
        <v>1235</v>
      </c>
    </row>
    <row r="127" spans="1:15" ht="15">
      <c r="A127" s="66" t="s">
        <v>186</v>
      </c>
      <c r="B127" s="66" t="s">
        <v>322</v>
      </c>
      <c r="C127" s="67"/>
      <c r="D127" s="68"/>
      <c r="E127" s="69"/>
      <c r="F127" s="70"/>
      <c r="G127" s="67"/>
      <c r="H127" s="71"/>
      <c r="I127" s="72"/>
      <c r="J127" s="72"/>
      <c r="K127" s="36"/>
      <c r="L127" s="79">
        <v>127</v>
      </c>
      <c r="M127" s="79"/>
      <c r="N127" s="74"/>
      <c r="O127" s="81" t="s">
        <v>1235</v>
      </c>
    </row>
    <row r="128" spans="1:15" ht="15">
      <c r="A128" s="66" t="s">
        <v>186</v>
      </c>
      <c r="B128" s="66" t="s">
        <v>323</v>
      </c>
      <c r="C128" s="67"/>
      <c r="D128" s="68"/>
      <c r="E128" s="69"/>
      <c r="F128" s="70"/>
      <c r="G128" s="67"/>
      <c r="H128" s="71"/>
      <c r="I128" s="72"/>
      <c r="J128" s="72"/>
      <c r="K128" s="36"/>
      <c r="L128" s="79">
        <v>128</v>
      </c>
      <c r="M128" s="79"/>
      <c r="N128" s="74"/>
      <c r="O128" s="81" t="s">
        <v>1235</v>
      </c>
    </row>
    <row r="129" spans="1:15" ht="15">
      <c r="A129" s="66" t="s">
        <v>186</v>
      </c>
      <c r="B129" s="66" t="s">
        <v>324</v>
      </c>
      <c r="C129" s="67"/>
      <c r="D129" s="68"/>
      <c r="E129" s="69"/>
      <c r="F129" s="70"/>
      <c r="G129" s="67"/>
      <c r="H129" s="71"/>
      <c r="I129" s="72"/>
      <c r="J129" s="72"/>
      <c r="K129" s="36"/>
      <c r="L129" s="79">
        <v>129</v>
      </c>
      <c r="M129" s="79"/>
      <c r="N129" s="74"/>
      <c r="O129" s="81" t="s">
        <v>1235</v>
      </c>
    </row>
    <row r="130" spans="1:15" ht="15">
      <c r="A130" s="66" t="s">
        <v>186</v>
      </c>
      <c r="B130" s="66" t="s">
        <v>325</v>
      </c>
      <c r="C130" s="67"/>
      <c r="D130" s="68"/>
      <c r="E130" s="69"/>
      <c r="F130" s="70"/>
      <c r="G130" s="67"/>
      <c r="H130" s="71"/>
      <c r="I130" s="72"/>
      <c r="J130" s="72"/>
      <c r="K130" s="36"/>
      <c r="L130" s="79">
        <v>130</v>
      </c>
      <c r="M130" s="79"/>
      <c r="N130" s="74"/>
      <c r="O130" s="81" t="s">
        <v>1235</v>
      </c>
    </row>
    <row r="131" spans="1:15" ht="15">
      <c r="A131" s="66" t="s">
        <v>186</v>
      </c>
      <c r="B131" s="66" t="s">
        <v>326</v>
      </c>
      <c r="C131" s="67"/>
      <c r="D131" s="68"/>
      <c r="E131" s="69"/>
      <c r="F131" s="70"/>
      <c r="G131" s="67"/>
      <c r="H131" s="71"/>
      <c r="I131" s="72"/>
      <c r="J131" s="72"/>
      <c r="K131" s="36"/>
      <c r="L131" s="79">
        <v>131</v>
      </c>
      <c r="M131" s="79"/>
      <c r="N131" s="74"/>
      <c r="O131" s="81" t="s">
        <v>1235</v>
      </c>
    </row>
    <row r="132" spans="1:15" ht="15">
      <c r="A132" s="66" t="s">
        <v>186</v>
      </c>
      <c r="B132" s="66" t="s">
        <v>327</v>
      </c>
      <c r="C132" s="67"/>
      <c r="D132" s="68"/>
      <c r="E132" s="69"/>
      <c r="F132" s="70"/>
      <c r="G132" s="67"/>
      <c r="H132" s="71"/>
      <c r="I132" s="72"/>
      <c r="J132" s="72"/>
      <c r="K132" s="36"/>
      <c r="L132" s="79">
        <v>132</v>
      </c>
      <c r="M132" s="79"/>
      <c r="N132" s="74"/>
      <c r="O132" s="81" t="s">
        <v>1235</v>
      </c>
    </row>
    <row r="133" spans="1:15" ht="15">
      <c r="A133" s="66" t="s">
        <v>186</v>
      </c>
      <c r="B133" s="66" t="s">
        <v>328</v>
      </c>
      <c r="C133" s="67"/>
      <c r="D133" s="68"/>
      <c r="E133" s="69"/>
      <c r="F133" s="70"/>
      <c r="G133" s="67"/>
      <c r="H133" s="71"/>
      <c r="I133" s="72"/>
      <c r="J133" s="72"/>
      <c r="K133" s="36"/>
      <c r="L133" s="79">
        <v>133</v>
      </c>
      <c r="M133" s="79"/>
      <c r="N133" s="74"/>
      <c r="O133" s="81" t="s">
        <v>1235</v>
      </c>
    </row>
    <row r="134" spans="1:15" ht="15">
      <c r="A134" s="66" t="s">
        <v>186</v>
      </c>
      <c r="B134" s="66" t="s">
        <v>329</v>
      </c>
      <c r="C134" s="67"/>
      <c r="D134" s="68"/>
      <c r="E134" s="69"/>
      <c r="F134" s="70"/>
      <c r="G134" s="67"/>
      <c r="H134" s="71"/>
      <c r="I134" s="72"/>
      <c r="J134" s="72"/>
      <c r="K134" s="36"/>
      <c r="L134" s="79">
        <v>134</v>
      </c>
      <c r="M134" s="79"/>
      <c r="N134" s="74"/>
      <c r="O134" s="81" t="s">
        <v>1235</v>
      </c>
    </row>
    <row r="135" spans="1:15" ht="15">
      <c r="A135" s="66" t="s">
        <v>186</v>
      </c>
      <c r="B135" s="66" t="s">
        <v>330</v>
      </c>
      <c r="C135" s="67"/>
      <c r="D135" s="68"/>
      <c r="E135" s="69"/>
      <c r="F135" s="70"/>
      <c r="G135" s="67"/>
      <c r="H135" s="71"/>
      <c r="I135" s="72"/>
      <c r="J135" s="72"/>
      <c r="K135" s="36"/>
      <c r="L135" s="79">
        <v>135</v>
      </c>
      <c r="M135" s="79"/>
      <c r="N135" s="74"/>
      <c r="O135" s="81" t="s">
        <v>1235</v>
      </c>
    </row>
    <row r="136" spans="1:15" ht="15">
      <c r="A136" s="66" t="s">
        <v>186</v>
      </c>
      <c r="B136" s="66" t="s">
        <v>331</v>
      </c>
      <c r="C136" s="67"/>
      <c r="D136" s="68"/>
      <c r="E136" s="69"/>
      <c r="F136" s="70"/>
      <c r="G136" s="67"/>
      <c r="H136" s="71"/>
      <c r="I136" s="72"/>
      <c r="J136" s="72"/>
      <c r="K136" s="36"/>
      <c r="L136" s="79">
        <v>136</v>
      </c>
      <c r="M136" s="79"/>
      <c r="N136" s="74"/>
      <c r="O136" s="81" t="s">
        <v>1235</v>
      </c>
    </row>
    <row r="137" spans="1:15" ht="15">
      <c r="A137" s="66" t="s">
        <v>186</v>
      </c>
      <c r="B137" s="66" t="s">
        <v>332</v>
      </c>
      <c r="C137" s="67"/>
      <c r="D137" s="68"/>
      <c r="E137" s="69"/>
      <c r="F137" s="70"/>
      <c r="G137" s="67"/>
      <c r="H137" s="71"/>
      <c r="I137" s="72"/>
      <c r="J137" s="72"/>
      <c r="K137" s="36"/>
      <c r="L137" s="79">
        <v>137</v>
      </c>
      <c r="M137" s="79"/>
      <c r="N137" s="74"/>
      <c r="O137" s="81" t="s">
        <v>1235</v>
      </c>
    </row>
    <row r="138" spans="1:15" ht="15">
      <c r="A138" s="66" t="s">
        <v>186</v>
      </c>
      <c r="B138" s="66" t="s">
        <v>333</v>
      </c>
      <c r="C138" s="67"/>
      <c r="D138" s="68"/>
      <c r="E138" s="69"/>
      <c r="F138" s="70"/>
      <c r="G138" s="67"/>
      <c r="H138" s="71"/>
      <c r="I138" s="72"/>
      <c r="J138" s="72"/>
      <c r="K138" s="36"/>
      <c r="L138" s="79">
        <v>138</v>
      </c>
      <c r="M138" s="79"/>
      <c r="N138" s="74"/>
      <c r="O138" s="81" t="s">
        <v>1235</v>
      </c>
    </row>
    <row r="139" spans="1:15" ht="15">
      <c r="A139" s="66" t="s">
        <v>186</v>
      </c>
      <c r="B139" s="66" t="s">
        <v>334</v>
      </c>
      <c r="C139" s="67"/>
      <c r="D139" s="68"/>
      <c r="E139" s="69"/>
      <c r="F139" s="70"/>
      <c r="G139" s="67"/>
      <c r="H139" s="71"/>
      <c r="I139" s="72"/>
      <c r="J139" s="72"/>
      <c r="K139" s="36"/>
      <c r="L139" s="79">
        <v>139</v>
      </c>
      <c r="M139" s="79"/>
      <c r="N139" s="74"/>
      <c r="O139" s="81" t="s">
        <v>1235</v>
      </c>
    </row>
    <row r="140" spans="1:15" ht="15">
      <c r="A140" s="66" t="s">
        <v>186</v>
      </c>
      <c r="B140" s="66" t="s">
        <v>335</v>
      </c>
      <c r="C140" s="67"/>
      <c r="D140" s="68"/>
      <c r="E140" s="69"/>
      <c r="F140" s="70"/>
      <c r="G140" s="67"/>
      <c r="H140" s="71"/>
      <c r="I140" s="72"/>
      <c r="J140" s="72"/>
      <c r="K140" s="36"/>
      <c r="L140" s="79">
        <v>140</v>
      </c>
      <c r="M140" s="79"/>
      <c r="N140" s="74"/>
      <c r="O140" s="81" t="s">
        <v>1235</v>
      </c>
    </row>
    <row r="141" spans="1:15" ht="15">
      <c r="A141" s="66" t="s">
        <v>186</v>
      </c>
      <c r="B141" s="66" t="s">
        <v>336</v>
      </c>
      <c r="C141" s="67"/>
      <c r="D141" s="68"/>
      <c r="E141" s="69"/>
      <c r="F141" s="70"/>
      <c r="G141" s="67"/>
      <c r="H141" s="71"/>
      <c r="I141" s="72"/>
      <c r="J141" s="72"/>
      <c r="K141" s="36"/>
      <c r="L141" s="79">
        <v>141</v>
      </c>
      <c r="M141" s="79"/>
      <c r="N141" s="74"/>
      <c r="O141" s="81" t="s">
        <v>1235</v>
      </c>
    </row>
    <row r="142" spans="1:15" ht="15">
      <c r="A142" s="66" t="s">
        <v>186</v>
      </c>
      <c r="B142" s="66" t="s">
        <v>337</v>
      </c>
      <c r="C142" s="67"/>
      <c r="D142" s="68"/>
      <c r="E142" s="69"/>
      <c r="F142" s="70"/>
      <c r="G142" s="67"/>
      <c r="H142" s="71"/>
      <c r="I142" s="72"/>
      <c r="J142" s="72"/>
      <c r="K142" s="36"/>
      <c r="L142" s="79">
        <v>142</v>
      </c>
      <c r="M142" s="79"/>
      <c r="N142" s="74"/>
      <c r="O142" s="81" t="s">
        <v>1235</v>
      </c>
    </row>
    <row r="143" spans="1:15" ht="15">
      <c r="A143" s="66" t="s">
        <v>186</v>
      </c>
      <c r="B143" s="66" t="s">
        <v>338</v>
      </c>
      <c r="C143" s="67"/>
      <c r="D143" s="68"/>
      <c r="E143" s="69"/>
      <c r="F143" s="70"/>
      <c r="G143" s="67"/>
      <c r="H143" s="71"/>
      <c r="I143" s="72"/>
      <c r="J143" s="72"/>
      <c r="K143" s="36"/>
      <c r="L143" s="79">
        <v>143</v>
      </c>
      <c r="M143" s="79"/>
      <c r="N143" s="74"/>
      <c r="O143" s="81" t="s">
        <v>1235</v>
      </c>
    </row>
    <row r="144" spans="1:15" ht="15">
      <c r="A144" s="66" t="s">
        <v>186</v>
      </c>
      <c r="B144" s="66" t="s">
        <v>339</v>
      </c>
      <c r="C144" s="67"/>
      <c r="D144" s="68"/>
      <c r="E144" s="69"/>
      <c r="F144" s="70"/>
      <c r="G144" s="67"/>
      <c r="H144" s="71"/>
      <c r="I144" s="72"/>
      <c r="J144" s="72"/>
      <c r="K144" s="36"/>
      <c r="L144" s="79">
        <v>144</v>
      </c>
      <c r="M144" s="79"/>
      <c r="N144" s="74"/>
      <c r="O144" s="81" t="s">
        <v>1235</v>
      </c>
    </row>
    <row r="145" spans="1:15" ht="15">
      <c r="A145" s="66" t="s">
        <v>186</v>
      </c>
      <c r="B145" s="66" t="s">
        <v>340</v>
      </c>
      <c r="C145" s="67"/>
      <c r="D145" s="68"/>
      <c r="E145" s="69"/>
      <c r="F145" s="70"/>
      <c r="G145" s="67"/>
      <c r="H145" s="71"/>
      <c r="I145" s="72"/>
      <c r="J145" s="72"/>
      <c r="K145" s="36"/>
      <c r="L145" s="79">
        <v>145</v>
      </c>
      <c r="M145" s="79"/>
      <c r="N145" s="74"/>
      <c r="O145" s="81" t="s">
        <v>1235</v>
      </c>
    </row>
    <row r="146" spans="1:15" ht="15">
      <c r="A146" s="66" t="s">
        <v>186</v>
      </c>
      <c r="B146" s="66" t="s">
        <v>216</v>
      </c>
      <c r="C146" s="67"/>
      <c r="D146" s="68"/>
      <c r="E146" s="69"/>
      <c r="F146" s="70"/>
      <c r="G146" s="67"/>
      <c r="H146" s="71"/>
      <c r="I146" s="72"/>
      <c r="J146" s="72"/>
      <c r="K146" s="36"/>
      <c r="L146" s="79">
        <v>146</v>
      </c>
      <c r="M146" s="79"/>
      <c r="N146" s="74"/>
      <c r="O146" s="81" t="s">
        <v>1235</v>
      </c>
    </row>
    <row r="147" spans="1:15" ht="15">
      <c r="A147" s="66" t="s">
        <v>186</v>
      </c>
      <c r="B147" s="66" t="s">
        <v>341</v>
      </c>
      <c r="C147" s="67"/>
      <c r="D147" s="68"/>
      <c r="E147" s="69"/>
      <c r="F147" s="70"/>
      <c r="G147" s="67"/>
      <c r="H147" s="71"/>
      <c r="I147" s="72"/>
      <c r="J147" s="72"/>
      <c r="K147" s="36"/>
      <c r="L147" s="79">
        <v>147</v>
      </c>
      <c r="M147" s="79"/>
      <c r="N147" s="74"/>
      <c r="O147" s="81" t="s">
        <v>1235</v>
      </c>
    </row>
    <row r="148" spans="1:15" ht="15">
      <c r="A148" s="66" t="s">
        <v>186</v>
      </c>
      <c r="B148" s="66" t="s">
        <v>288</v>
      </c>
      <c r="C148" s="67"/>
      <c r="D148" s="68"/>
      <c r="E148" s="69"/>
      <c r="F148" s="70"/>
      <c r="G148" s="67"/>
      <c r="H148" s="71"/>
      <c r="I148" s="72"/>
      <c r="J148" s="72"/>
      <c r="K148" s="36"/>
      <c r="L148" s="79">
        <v>148</v>
      </c>
      <c r="M148" s="79"/>
      <c r="N148" s="74"/>
      <c r="O148" s="81" t="s">
        <v>1235</v>
      </c>
    </row>
    <row r="149" spans="1:15" ht="15">
      <c r="A149" s="66" t="s">
        <v>186</v>
      </c>
      <c r="B149" s="66" t="s">
        <v>342</v>
      </c>
      <c r="C149" s="67"/>
      <c r="D149" s="68"/>
      <c r="E149" s="69"/>
      <c r="F149" s="70"/>
      <c r="G149" s="67"/>
      <c r="H149" s="71"/>
      <c r="I149" s="72"/>
      <c r="J149" s="72"/>
      <c r="K149" s="36"/>
      <c r="L149" s="79">
        <v>149</v>
      </c>
      <c r="M149" s="79"/>
      <c r="N149" s="74"/>
      <c r="O149" s="81" t="s">
        <v>1235</v>
      </c>
    </row>
    <row r="150" spans="1:15" ht="15">
      <c r="A150" s="66" t="s">
        <v>186</v>
      </c>
      <c r="B150" s="66" t="s">
        <v>343</v>
      </c>
      <c r="C150" s="67"/>
      <c r="D150" s="68"/>
      <c r="E150" s="69"/>
      <c r="F150" s="70"/>
      <c r="G150" s="67"/>
      <c r="H150" s="71"/>
      <c r="I150" s="72"/>
      <c r="J150" s="72"/>
      <c r="K150" s="36"/>
      <c r="L150" s="79">
        <v>150</v>
      </c>
      <c r="M150" s="79"/>
      <c r="N150" s="74"/>
      <c r="O150" s="81" t="s">
        <v>1235</v>
      </c>
    </row>
    <row r="151" spans="1:15" ht="15">
      <c r="A151" s="66" t="s">
        <v>186</v>
      </c>
      <c r="B151" s="66" t="s">
        <v>294</v>
      </c>
      <c r="C151" s="67"/>
      <c r="D151" s="68"/>
      <c r="E151" s="69"/>
      <c r="F151" s="70"/>
      <c r="G151" s="67"/>
      <c r="H151" s="71"/>
      <c r="I151" s="72"/>
      <c r="J151" s="72"/>
      <c r="K151" s="36"/>
      <c r="L151" s="79">
        <v>151</v>
      </c>
      <c r="M151" s="79"/>
      <c r="N151" s="74"/>
      <c r="O151" s="81" t="s">
        <v>1235</v>
      </c>
    </row>
    <row r="152" spans="1:15" ht="15">
      <c r="A152" s="66" t="s">
        <v>186</v>
      </c>
      <c r="B152" s="66" t="s">
        <v>344</v>
      </c>
      <c r="C152" s="67"/>
      <c r="D152" s="68"/>
      <c r="E152" s="69"/>
      <c r="F152" s="70"/>
      <c r="G152" s="67"/>
      <c r="H152" s="71"/>
      <c r="I152" s="72"/>
      <c r="J152" s="72"/>
      <c r="K152" s="36"/>
      <c r="L152" s="79">
        <v>152</v>
      </c>
      <c r="M152" s="79"/>
      <c r="N152" s="74"/>
      <c r="O152" s="81" t="s">
        <v>1235</v>
      </c>
    </row>
    <row r="153" spans="1:15" ht="15">
      <c r="A153" s="66" t="s">
        <v>186</v>
      </c>
      <c r="B153" s="66" t="s">
        <v>345</v>
      </c>
      <c r="C153" s="67"/>
      <c r="D153" s="68"/>
      <c r="E153" s="69"/>
      <c r="F153" s="70"/>
      <c r="G153" s="67"/>
      <c r="H153" s="71"/>
      <c r="I153" s="72"/>
      <c r="J153" s="72"/>
      <c r="K153" s="36"/>
      <c r="L153" s="79">
        <v>153</v>
      </c>
      <c r="M153" s="79"/>
      <c r="N153" s="74"/>
      <c r="O153" s="81" t="s">
        <v>1235</v>
      </c>
    </row>
    <row r="154" spans="1:15" ht="15">
      <c r="A154" s="66" t="s">
        <v>186</v>
      </c>
      <c r="B154" s="66" t="s">
        <v>221</v>
      </c>
      <c r="C154" s="67"/>
      <c r="D154" s="68"/>
      <c r="E154" s="69"/>
      <c r="F154" s="70"/>
      <c r="G154" s="67"/>
      <c r="H154" s="71"/>
      <c r="I154" s="72"/>
      <c r="J154" s="72"/>
      <c r="K154" s="36"/>
      <c r="L154" s="79">
        <v>154</v>
      </c>
      <c r="M154" s="79"/>
      <c r="N154" s="74"/>
      <c r="O154" s="81" t="s">
        <v>1235</v>
      </c>
    </row>
    <row r="155" spans="1:15" ht="15">
      <c r="A155" s="66" t="s">
        <v>186</v>
      </c>
      <c r="B155" s="66" t="s">
        <v>346</v>
      </c>
      <c r="C155" s="67"/>
      <c r="D155" s="68"/>
      <c r="E155" s="69"/>
      <c r="F155" s="70"/>
      <c r="G155" s="67"/>
      <c r="H155" s="71"/>
      <c r="I155" s="72"/>
      <c r="J155" s="72"/>
      <c r="K155" s="36"/>
      <c r="L155" s="79">
        <v>155</v>
      </c>
      <c r="M155" s="79"/>
      <c r="N155" s="74"/>
      <c r="O155" s="81" t="s">
        <v>1235</v>
      </c>
    </row>
    <row r="156" spans="1:15" ht="15">
      <c r="A156" s="66" t="s">
        <v>186</v>
      </c>
      <c r="B156" s="66" t="s">
        <v>347</v>
      </c>
      <c r="C156" s="67"/>
      <c r="D156" s="68"/>
      <c r="E156" s="69"/>
      <c r="F156" s="70"/>
      <c r="G156" s="67"/>
      <c r="H156" s="71"/>
      <c r="I156" s="72"/>
      <c r="J156" s="72"/>
      <c r="K156" s="36"/>
      <c r="L156" s="79">
        <v>156</v>
      </c>
      <c r="M156" s="79"/>
      <c r="N156" s="74"/>
      <c r="O156" s="81" t="s">
        <v>1235</v>
      </c>
    </row>
    <row r="157" spans="1:15" ht="15">
      <c r="A157" s="66" t="s">
        <v>186</v>
      </c>
      <c r="B157" s="66" t="s">
        <v>287</v>
      </c>
      <c r="C157" s="67"/>
      <c r="D157" s="68"/>
      <c r="E157" s="69"/>
      <c r="F157" s="70"/>
      <c r="G157" s="67"/>
      <c r="H157" s="71"/>
      <c r="I157" s="72"/>
      <c r="J157" s="72"/>
      <c r="K157" s="36"/>
      <c r="L157" s="79">
        <v>157</v>
      </c>
      <c r="M157" s="79"/>
      <c r="N157" s="74"/>
      <c r="O157" s="81" t="s">
        <v>1235</v>
      </c>
    </row>
    <row r="158" spans="1:15" ht="15">
      <c r="A158" s="66" t="s">
        <v>186</v>
      </c>
      <c r="B158" s="66" t="s">
        <v>348</v>
      </c>
      <c r="C158" s="67"/>
      <c r="D158" s="68"/>
      <c r="E158" s="69"/>
      <c r="F158" s="70"/>
      <c r="G158" s="67"/>
      <c r="H158" s="71"/>
      <c r="I158" s="72"/>
      <c r="J158" s="72"/>
      <c r="K158" s="36"/>
      <c r="L158" s="79">
        <v>158</v>
      </c>
      <c r="M158" s="79"/>
      <c r="N158" s="74"/>
      <c r="O158" s="81" t="s">
        <v>1235</v>
      </c>
    </row>
    <row r="159" spans="1:15" ht="15">
      <c r="A159" s="66" t="s">
        <v>186</v>
      </c>
      <c r="B159" s="66" t="s">
        <v>349</v>
      </c>
      <c r="C159" s="67"/>
      <c r="D159" s="68"/>
      <c r="E159" s="69"/>
      <c r="F159" s="70"/>
      <c r="G159" s="67"/>
      <c r="H159" s="71"/>
      <c r="I159" s="72"/>
      <c r="J159" s="72"/>
      <c r="K159" s="36"/>
      <c r="L159" s="79">
        <v>159</v>
      </c>
      <c r="M159" s="79"/>
      <c r="N159" s="74"/>
      <c r="O159" s="81" t="s">
        <v>1235</v>
      </c>
    </row>
    <row r="160" spans="1:15" ht="15">
      <c r="A160" s="66" t="s">
        <v>186</v>
      </c>
      <c r="B160" s="66" t="s">
        <v>291</v>
      </c>
      <c r="C160" s="67"/>
      <c r="D160" s="68"/>
      <c r="E160" s="69"/>
      <c r="F160" s="70"/>
      <c r="G160" s="67"/>
      <c r="H160" s="71"/>
      <c r="I160" s="72"/>
      <c r="J160" s="72"/>
      <c r="K160" s="36"/>
      <c r="L160" s="79">
        <v>160</v>
      </c>
      <c r="M160" s="79"/>
      <c r="N160" s="74"/>
      <c r="O160" s="81" t="s">
        <v>1235</v>
      </c>
    </row>
    <row r="161" spans="1:15" ht="15">
      <c r="A161" s="66" t="s">
        <v>186</v>
      </c>
      <c r="B161" s="66" t="s">
        <v>212</v>
      </c>
      <c r="C161" s="67"/>
      <c r="D161" s="68"/>
      <c r="E161" s="69"/>
      <c r="F161" s="70"/>
      <c r="G161" s="67"/>
      <c r="H161" s="71"/>
      <c r="I161" s="72"/>
      <c r="J161" s="72"/>
      <c r="K161" s="36"/>
      <c r="L161" s="79">
        <v>161</v>
      </c>
      <c r="M161" s="79"/>
      <c r="N161" s="74"/>
      <c r="O161" s="81" t="s">
        <v>1235</v>
      </c>
    </row>
    <row r="162" spans="1:15" ht="15">
      <c r="A162" s="66" t="s">
        <v>186</v>
      </c>
      <c r="B162" s="66" t="s">
        <v>350</v>
      </c>
      <c r="C162" s="67"/>
      <c r="D162" s="68"/>
      <c r="E162" s="69"/>
      <c r="F162" s="70"/>
      <c r="G162" s="67"/>
      <c r="H162" s="71"/>
      <c r="I162" s="72"/>
      <c r="J162" s="72"/>
      <c r="K162" s="36"/>
      <c r="L162" s="79">
        <v>162</v>
      </c>
      <c r="M162" s="79"/>
      <c r="N162" s="74"/>
      <c r="O162" s="81" t="s">
        <v>1235</v>
      </c>
    </row>
    <row r="163" spans="1:15" ht="15">
      <c r="A163" s="66" t="s">
        <v>186</v>
      </c>
      <c r="B163" s="66" t="s">
        <v>351</v>
      </c>
      <c r="C163" s="67"/>
      <c r="D163" s="68"/>
      <c r="E163" s="69"/>
      <c r="F163" s="70"/>
      <c r="G163" s="67"/>
      <c r="H163" s="71"/>
      <c r="I163" s="72"/>
      <c r="J163" s="72"/>
      <c r="K163" s="36"/>
      <c r="L163" s="79">
        <v>163</v>
      </c>
      <c r="M163" s="79"/>
      <c r="N163" s="74"/>
      <c r="O163" s="81" t="s">
        <v>1235</v>
      </c>
    </row>
    <row r="164" spans="1:15" ht="15">
      <c r="A164" s="66" t="s">
        <v>186</v>
      </c>
      <c r="B164" s="66" t="s">
        <v>187</v>
      </c>
      <c r="C164" s="67"/>
      <c r="D164" s="68"/>
      <c r="E164" s="69"/>
      <c r="F164" s="70"/>
      <c r="G164" s="67"/>
      <c r="H164" s="71"/>
      <c r="I164" s="72"/>
      <c r="J164" s="72"/>
      <c r="K164" s="36"/>
      <c r="L164" s="79">
        <v>164</v>
      </c>
      <c r="M164" s="79"/>
      <c r="N164" s="74"/>
      <c r="O164" s="81" t="s">
        <v>1235</v>
      </c>
    </row>
    <row r="165" spans="1:15" ht="15">
      <c r="A165" s="66" t="s">
        <v>187</v>
      </c>
      <c r="B165" s="66" t="s">
        <v>352</v>
      </c>
      <c r="C165" s="67"/>
      <c r="D165" s="68"/>
      <c r="E165" s="69"/>
      <c r="F165" s="70"/>
      <c r="G165" s="67"/>
      <c r="H165" s="71"/>
      <c r="I165" s="72"/>
      <c r="J165" s="72"/>
      <c r="K165" s="36"/>
      <c r="L165" s="79">
        <v>165</v>
      </c>
      <c r="M165" s="79"/>
      <c r="N165" s="74"/>
      <c r="O165" s="81" t="s">
        <v>1235</v>
      </c>
    </row>
    <row r="166" spans="1:15" ht="15">
      <c r="A166" s="66" t="s">
        <v>187</v>
      </c>
      <c r="B166" s="66" t="s">
        <v>353</v>
      </c>
      <c r="C166" s="67"/>
      <c r="D166" s="68"/>
      <c r="E166" s="69"/>
      <c r="F166" s="70"/>
      <c r="G166" s="67"/>
      <c r="H166" s="71"/>
      <c r="I166" s="72"/>
      <c r="J166" s="72"/>
      <c r="K166" s="36"/>
      <c r="L166" s="79">
        <v>166</v>
      </c>
      <c r="M166" s="79"/>
      <c r="N166" s="74"/>
      <c r="O166" s="81" t="s">
        <v>1235</v>
      </c>
    </row>
    <row r="167" spans="1:15" ht="15">
      <c r="A167" s="66" t="s">
        <v>187</v>
      </c>
      <c r="B167" s="66" t="s">
        <v>354</v>
      </c>
      <c r="C167" s="67"/>
      <c r="D167" s="68"/>
      <c r="E167" s="69"/>
      <c r="F167" s="70"/>
      <c r="G167" s="67"/>
      <c r="H167" s="71"/>
      <c r="I167" s="72"/>
      <c r="J167" s="72"/>
      <c r="K167" s="36"/>
      <c r="L167" s="79">
        <v>167</v>
      </c>
      <c r="M167" s="79"/>
      <c r="N167" s="74"/>
      <c r="O167" s="81" t="s">
        <v>1235</v>
      </c>
    </row>
    <row r="168" spans="1:15" ht="15">
      <c r="A168" s="66" t="s">
        <v>187</v>
      </c>
      <c r="B168" s="66" t="s">
        <v>355</v>
      </c>
      <c r="C168" s="67"/>
      <c r="D168" s="68"/>
      <c r="E168" s="69"/>
      <c r="F168" s="70"/>
      <c r="G168" s="67"/>
      <c r="H168" s="71"/>
      <c r="I168" s="72"/>
      <c r="J168" s="72"/>
      <c r="K168" s="36"/>
      <c r="L168" s="79">
        <v>168</v>
      </c>
      <c r="M168" s="79"/>
      <c r="N168" s="74"/>
      <c r="O168" s="81" t="s">
        <v>1235</v>
      </c>
    </row>
    <row r="169" spans="1:15" ht="15">
      <c r="A169" s="66" t="s">
        <v>187</v>
      </c>
      <c r="B169" s="66" t="s">
        <v>356</v>
      </c>
      <c r="C169" s="67"/>
      <c r="D169" s="68"/>
      <c r="E169" s="69"/>
      <c r="F169" s="70"/>
      <c r="G169" s="67"/>
      <c r="H169" s="71"/>
      <c r="I169" s="72"/>
      <c r="J169" s="72"/>
      <c r="K169" s="36"/>
      <c r="L169" s="79">
        <v>169</v>
      </c>
      <c r="M169" s="79"/>
      <c r="N169" s="74"/>
      <c r="O169" s="81" t="s">
        <v>1235</v>
      </c>
    </row>
    <row r="170" spans="1:15" ht="15">
      <c r="A170" s="66" t="s">
        <v>187</v>
      </c>
      <c r="B170" s="66" t="s">
        <v>357</v>
      </c>
      <c r="C170" s="67"/>
      <c r="D170" s="68"/>
      <c r="E170" s="69"/>
      <c r="F170" s="70"/>
      <c r="G170" s="67"/>
      <c r="H170" s="71"/>
      <c r="I170" s="72"/>
      <c r="J170" s="72"/>
      <c r="K170" s="36"/>
      <c r="L170" s="79">
        <v>170</v>
      </c>
      <c r="M170" s="79"/>
      <c r="N170" s="74"/>
      <c r="O170" s="81" t="s">
        <v>1235</v>
      </c>
    </row>
    <row r="171" spans="1:15" ht="15">
      <c r="A171" s="66" t="s">
        <v>187</v>
      </c>
      <c r="B171" s="66" t="s">
        <v>358</v>
      </c>
      <c r="C171" s="67"/>
      <c r="D171" s="68"/>
      <c r="E171" s="69"/>
      <c r="F171" s="70"/>
      <c r="G171" s="67"/>
      <c r="H171" s="71"/>
      <c r="I171" s="72"/>
      <c r="J171" s="72"/>
      <c r="K171" s="36"/>
      <c r="L171" s="79">
        <v>171</v>
      </c>
      <c r="M171" s="79"/>
      <c r="N171" s="74"/>
      <c r="O171" s="81" t="s">
        <v>1235</v>
      </c>
    </row>
    <row r="172" spans="1:15" ht="15">
      <c r="A172" s="66" t="s">
        <v>187</v>
      </c>
      <c r="B172" s="66" t="s">
        <v>359</v>
      </c>
      <c r="C172" s="67"/>
      <c r="D172" s="68"/>
      <c r="E172" s="69"/>
      <c r="F172" s="70"/>
      <c r="G172" s="67"/>
      <c r="H172" s="71"/>
      <c r="I172" s="72"/>
      <c r="J172" s="72"/>
      <c r="K172" s="36"/>
      <c r="L172" s="79">
        <v>172</v>
      </c>
      <c r="M172" s="79"/>
      <c r="N172" s="74"/>
      <c r="O172" s="81" t="s">
        <v>1235</v>
      </c>
    </row>
    <row r="173" spans="1:15" ht="15">
      <c r="A173" s="66" t="s">
        <v>187</v>
      </c>
      <c r="B173" s="66" t="s">
        <v>360</v>
      </c>
      <c r="C173" s="67"/>
      <c r="D173" s="68"/>
      <c r="E173" s="69"/>
      <c r="F173" s="70"/>
      <c r="G173" s="67"/>
      <c r="H173" s="71"/>
      <c r="I173" s="72"/>
      <c r="J173" s="72"/>
      <c r="K173" s="36"/>
      <c r="L173" s="79">
        <v>173</v>
      </c>
      <c r="M173" s="79"/>
      <c r="N173" s="74"/>
      <c r="O173" s="81" t="s">
        <v>1235</v>
      </c>
    </row>
    <row r="174" spans="1:15" ht="15">
      <c r="A174" s="66" t="s">
        <v>187</v>
      </c>
      <c r="B174" s="66" t="s">
        <v>361</v>
      </c>
      <c r="C174" s="67"/>
      <c r="D174" s="68"/>
      <c r="E174" s="69"/>
      <c r="F174" s="70"/>
      <c r="G174" s="67"/>
      <c r="H174" s="71"/>
      <c r="I174" s="72"/>
      <c r="J174" s="72"/>
      <c r="K174" s="36"/>
      <c r="L174" s="79">
        <v>174</v>
      </c>
      <c r="M174" s="79"/>
      <c r="N174" s="74"/>
      <c r="O174" s="81" t="s">
        <v>1235</v>
      </c>
    </row>
    <row r="175" spans="1:15" ht="15">
      <c r="A175" s="66" t="s">
        <v>187</v>
      </c>
      <c r="B175" s="66" t="s">
        <v>362</v>
      </c>
      <c r="C175" s="67"/>
      <c r="D175" s="68"/>
      <c r="E175" s="69"/>
      <c r="F175" s="70"/>
      <c r="G175" s="67"/>
      <c r="H175" s="71"/>
      <c r="I175" s="72"/>
      <c r="J175" s="72"/>
      <c r="K175" s="36"/>
      <c r="L175" s="79">
        <v>175</v>
      </c>
      <c r="M175" s="79"/>
      <c r="N175" s="74"/>
      <c r="O175" s="81" t="s">
        <v>1235</v>
      </c>
    </row>
    <row r="176" spans="1:15" ht="15">
      <c r="A176" s="66" t="s">
        <v>187</v>
      </c>
      <c r="B176" s="66" t="s">
        <v>363</v>
      </c>
      <c r="C176" s="67"/>
      <c r="D176" s="68"/>
      <c r="E176" s="69"/>
      <c r="F176" s="70"/>
      <c r="G176" s="67"/>
      <c r="H176" s="71"/>
      <c r="I176" s="72"/>
      <c r="J176" s="72"/>
      <c r="K176" s="36"/>
      <c r="L176" s="79">
        <v>176</v>
      </c>
      <c r="M176" s="79"/>
      <c r="N176" s="74"/>
      <c r="O176" s="81" t="s">
        <v>1235</v>
      </c>
    </row>
    <row r="177" spans="1:15" ht="15">
      <c r="A177" s="66" t="s">
        <v>187</v>
      </c>
      <c r="B177" s="66" t="s">
        <v>364</v>
      </c>
      <c r="C177" s="67"/>
      <c r="D177" s="68"/>
      <c r="E177" s="69"/>
      <c r="F177" s="70"/>
      <c r="G177" s="67"/>
      <c r="H177" s="71"/>
      <c r="I177" s="72"/>
      <c r="J177" s="72"/>
      <c r="K177" s="36"/>
      <c r="L177" s="79">
        <v>177</v>
      </c>
      <c r="M177" s="79"/>
      <c r="N177" s="74"/>
      <c r="O177" s="81" t="s">
        <v>1235</v>
      </c>
    </row>
    <row r="178" spans="1:15" ht="15">
      <c r="A178" s="66" t="s">
        <v>187</v>
      </c>
      <c r="B178" s="66" t="s">
        <v>365</v>
      </c>
      <c r="C178" s="67"/>
      <c r="D178" s="68"/>
      <c r="E178" s="69"/>
      <c r="F178" s="70"/>
      <c r="G178" s="67"/>
      <c r="H178" s="71"/>
      <c r="I178" s="72"/>
      <c r="J178" s="72"/>
      <c r="K178" s="36"/>
      <c r="L178" s="79">
        <v>178</v>
      </c>
      <c r="M178" s="79"/>
      <c r="N178" s="74"/>
      <c r="O178" s="81" t="s">
        <v>1235</v>
      </c>
    </row>
    <row r="179" spans="1:15" ht="15">
      <c r="A179" s="66" t="s">
        <v>187</v>
      </c>
      <c r="B179" s="66" t="s">
        <v>366</v>
      </c>
      <c r="C179" s="67"/>
      <c r="D179" s="68"/>
      <c r="E179" s="69"/>
      <c r="F179" s="70"/>
      <c r="G179" s="67"/>
      <c r="H179" s="71"/>
      <c r="I179" s="72"/>
      <c r="J179" s="72"/>
      <c r="K179" s="36"/>
      <c r="L179" s="79">
        <v>179</v>
      </c>
      <c r="M179" s="79"/>
      <c r="N179" s="74"/>
      <c r="O179" s="81" t="s">
        <v>1235</v>
      </c>
    </row>
    <row r="180" spans="1:15" ht="15">
      <c r="A180" s="66" t="s">
        <v>187</v>
      </c>
      <c r="B180" s="66" t="s">
        <v>367</v>
      </c>
      <c r="C180" s="67"/>
      <c r="D180" s="68"/>
      <c r="E180" s="69"/>
      <c r="F180" s="70"/>
      <c r="G180" s="67"/>
      <c r="H180" s="71"/>
      <c r="I180" s="72"/>
      <c r="J180" s="72"/>
      <c r="K180" s="36"/>
      <c r="L180" s="79">
        <v>180</v>
      </c>
      <c r="M180" s="79"/>
      <c r="N180" s="74"/>
      <c r="O180" s="81" t="s">
        <v>1235</v>
      </c>
    </row>
    <row r="181" spans="1:15" ht="15">
      <c r="A181" s="66" t="s">
        <v>187</v>
      </c>
      <c r="B181" s="66" t="s">
        <v>368</v>
      </c>
      <c r="C181" s="67"/>
      <c r="D181" s="68"/>
      <c r="E181" s="69"/>
      <c r="F181" s="70"/>
      <c r="G181" s="67"/>
      <c r="H181" s="71"/>
      <c r="I181" s="72"/>
      <c r="J181" s="72"/>
      <c r="K181" s="36"/>
      <c r="L181" s="79">
        <v>181</v>
      </c>
      <c r="M181" s="79"/>
      <c r="N181" s="74"/>
      <c r="O181" s="81" t="s">
        <v>1235</v>
      </c>
    </row>
    <row r="182" spans="1:15" ht="15">
      <c r="A182" s="66" t="s">
        <v>187</v>
      </c>
      <c r="B182" s="66" t="s">
        <v>369</v>
      </c>
      <c r="C182" s="67"/>
      <c r="D182" s="68"/>
      <c r="E182" s="69"/>
      <c r="F182" s="70"/>
      <c r="G182" s="67"/>
      <c r="H182" s="71"/>
      <c r="I182" s="72"/>
      <c r="J182" s="72"/>
      <c r="K182" s="36"/>
      <c r="L182" s="79">
        <v>182</v>
      </c>
      <c r="M182" s="79"/>
      <c r="N182" s="74"/>
      <c r="O182" s="81" t="s">
        <v>1235</v>
      </c>
    </row>
    <row r="183" spans="1:15" ht="15">
      <c r="A183" s="66" t="s">
        <v>187</v>
      </c>
      <c r="B183" s="66" t="s">
        <v>344</v>
      </c>
      <c r="C183" s="67"/>
      <c r="D183" s="68"/>
      <c r="E183" s="69"/>
      <c r="F183" s="70"/>
      <c r="G183" s="67"/>
      <c r="H183" s="71"/>
      <c r="I183" s="72"/>
      <c r="J183" s="72"/>
      <c r="K183" s="36"/>
      <c r="L183" s="79">
        <v>183</v>
      </c>
      <c r="M183" s="79"/>
      <c r="N183" s="74"/>
      <c r="O183" s="81" t="s">
        <v>1235</v>
      </c>
    </row>
    <row r="184" spans="1:15" ht="15">
      <c r="A184" s="66" t="s">
        <v>187</v>
      </c>
      <c r="B184" s="66" t="s">
        <v>370</v>
      </c>
      <c r="C184" s="67"/>
      <c r="D184" s="68"/>
      <c r="E184" s="69"/>
      <c r="F184" s="70"/>
      <c r="G184" s="67"/>
      <c r="H184" s="71"/>
      <c r="I184" s="72"/>
      <c r="J184" s="72"/>
      <c r="K184" s="36"/>
      <c r="L184" s="79">
        <v>184</v>
      </c>
      <c r="M184" s="79"/>
      <c r="N184" s="74"/>
      <c r="O184" s="81" t="s">
        <v>1235</v>
      </c>
    </row>
    <row r="185" spans="1:15" ht="15">
      <c r="A185" s="66" t="s">
        <v>187</v>
      </c>
      <c r="B185" s="66" t="s">
        <v>371</v>
      </c>
      <c r="C185" s="67"/>
      <c r="D185" s="68"/>
      <c r="E185" s="69"/>
      <c r="F185" s="70"/>
      <c r="G185" s="67"/>
      <c r="H185" s="71"/>
      <c r="I185" s="72"/>
      <c r="J185" s="72"/>
      <c r="K185" s="36"/>
      <c r="L185" s="79">
        <v>185</v>
      </c>
      <c r="M185" s="79"/>
      <c r="N185" s="74"/>
      <c r="O185" s="81" t="s">
        <v>1235</v>
      </c>
    </row>
    <row r="186" spans="1:15" ht="15">
      <c r="A186" s="66" t="s">
        <v>187</v>
      </c>
      <c r="B186" s="66" t="s">
        <v>372</v>
      </c>
      <c r="C186" s="67"/>
      <c r="D186" s="68"/>
      <c r="E186" s="69"/>
      <c r="F186" s="70"/>
      <c r="G186" s="67"/>
      <c r="H186" s="71"/>
      <c r="I186" s="72"/>
      <c r="J186" s="72"/>
      <c r="K186" s="36"/>
      <c r="L186" s="79">
        <v>186</v>
      </c>
      <c r="M186" s="79"/>
      <c r="N186" s="74"/>
      <c r="O186" s="81" t="s">
        <v>1235</v>
      </c>
    </row>
    <row r="187" spans="1:15" ht="15">
      <c r="A187" s="66" t="s">
        <v>187</v>
      </c>
      <c r="B187" s="66" t="s">
        <v>373</v>
      </c>
      <c r="C187" s="67"/>
      <c r="D187" s="68"/>
      <c r="E187" s="69"/>
      <c r="F187" s="70"/>
      <c r="G187" s="67"/>
      <c r="H187" s="71"/>
      <c r="I187" s="72"/>
      <c r="J187" s="72"/>
      <c r="K187" s="36"/>
      <c r="L187" s="79">
        <v>187</v>
      </c>
      <c r="M187" s="79"/>
      <c r="N187" s="74"/>
      <c r="O187" s="81" t="s">
        <v>1235</v>
      </c>
    </row>
    <row r="188" spans="1:15" ht="15">
      <c r="A188" s="66" t="s">
        <v>187</v>
      </c>
      <c r="B188" s="66" t="s">
        <v>374</v>
      </c>
      <c r="C188" s="67"/>
      <c r="D188" s="68"/>
      <c r="E188" s="69"/>
      <c r="F188" s="70"/>
      <c r="G188" s="67"/>
      <c r="H188" s="71"/>
      <c r="I188" s="72"/>
      <c r="J188" s="72"/>
      <c r="K188" s="36"/>
      <c r="L188" s="79">
        <v>188</v>
      </c>
      <c r="M188" s="79"/>
      <c r="N188" s="74"/>
      <c r="O188" s="81" t="s">
        <v>1235</v>
      </c>
    </row>
    <row r="189" spans="1:15" ht="15">
      <c r="A189" s="66" t="s">
        <v>187</v>
      </c>
      <c r="B189" s="66" t="s">
        <v>375</v>
      </c>
      <c r="C189" s="67"/>
      <c r="D189" s="68"/>
      <c r="E189" s="69"/>
      <c r="F189" s="70"/>
      <c r="G189" s="67"/>
      <c r="H189" s="71"/>
      <c r="I189" s="72"/>
      <c r="J189" s="72"/>
      <c r="K189" s="36"/>
      <c r="L189" s="79">
        <v>189</v>
      </c>
      <c r="M189" s="79"/>
      <c r="N189" s="74"/>
      <c r="O189" s="81" t="s">
        <v>1235</v>
      </c>
    </row>
    <row r="190" spans="1:15" ht="15">
      <c r="A190" s="66" t="s">
        <v>187</v>
      </c>
      <c r="B190" s="66" t="s">
        <v>376</v>
      </c>
      <c r="C190" s="67"/>
      <c r="D190" s="68"/>
      <c r="E190" s="69"/>
      <c r="F190" s="70"/>
      <c r="G190" s="67"/>
      <c r="H190" s="71"/>
      <c r="I190" s="72"/>
      <c r="J190" s="72"/>
      <c r="K190" s="36"/>
      <c r="L190" s="79">
        <v>190</v>
      </c>
      <c r="M190" s="79"/>
      <c r="N190" s="74"/>
      <c r="O190" s="81" t="s">
        <v>1235</v>
      </c>
    </row>
    <row r="191" spans="1:15" ht="15">
      <c r="A191" s="66" t="s">
        <v>187</v>
      </c>
      <c r="B191" s="66" t="s">
        <v>377</v>
      </c>
      <c r="C191" s="67"/>
      <c r="D191" s="68"/>
      <c r="E191" s="69"/>
      <c r="F191" s="70"/>
      <c r="G191" s="67"/>
      <c r="H191" s="71"/>
      <c r="I191" s="72"/>
      <c r="J191" s="72"/>
      <c r="K191" s="36"/>
      <c r="L191" s="79">
        <v>191</v>
      </c>
      <c r="M191" s="79"/>
      <c r="N191" s="74"/>
      <c r="O191" s="81" t="s">
        <v>1235</v>
      </c>
    </row>
    <row r="192" spans="1:15" ht="15">
      <c r="A192" s="66" t="s">
        <v>187</v>
      </c>
      <c r="B192" s="66" t="s">
        <v>378</v>
      </c>
      <c r="C192" s="67"/>
      <c r="D192" s="68"/>
      <c r="E192" s="69"/>
      <c r="F192" s="70"/>
      <c r="G192" s="67"/>
      <c r="H192" s="71"/>
      <c r="I192" s="72"/>
      <c r="J192" s="72"/>
      <c r="K192" s="36"/>
      <c r="L192" s="79">
        <v>192</v>
      </c>
      <c r="M192" s="79"/>
      <c r="N192" s="74"/>
      <c r="O192" s="81" t="s">
        <v>1235</v>
      </c>
    </row>
    <row r="193" spans="1:15" ht="15">
      <c r="A193" s="66" t="s">
        <v>187</v>
      </c>
      <c r="B193" s="66" t="s">
        <v>379</v>
      </c>
      <c r="C193" s="67"/>
      <c r="D193" s="68"/>
      <c r="E193" s="69"/>
      <c r="F193" s="70"/>
      <c r="G193" s="67"/>
      <c r="H193" s="71"/>
      <c r="I193" s="72"/>
      <c r="J193" s="72"/>
      <c r="K193" s="36"/>
      <c r="L193" s="79">
        <v>193</v>
      </c>
      <c r="M193" s="79"/>
      <c r="N193" s="74"/>
      <c r="O193" s="81" t="s">
        <v>1235</v>
      </c>
    </row>
    <row r="194" spans="1:15" ht="15">
      <c r="A194" s="66" t="s">
        <v>187</v>
      </c>
      <c r="B194" s="66" t="s">
        <v>380</v>
      </c>
      <c r="C194" s="67"/>
      <c r="D194" s="68"/>
      <c r="E194" s="69"/>
      <c r="F194" s="70"/>
      <c r="G194" s="67"/>
      <c r="H194" s="71"/>
      <c r="I194" s="72"/>
      <c r="J194" s="72"/>
      <c r="K194" s="36"/>
      <c r="L194" s="79">
        <v>194</v>
      </c>
      <c r="M194" s="79"/>
      <c r="N194" s="74"/>
      <c r="O194" s="81" t="s">
        <v>1235</v>
      </c>
    </row>
    <row r="195" spans="1:15" ht="15">
      <c r="A195" s="66" t="s">
        <v>187</v>
      </c>
      <c r="B195" s="66" t="s">
        <v>381</v>
      </c>
      <c r="C195" s="67"/>
      <c r="D195" s="68"/>
      <c r="E195" s="69"/>
      <c r="F195" s="70"/>
      <c r="G195" s="67"/>
      <c r="H195" s="71"/>
      <c r="I195" s="72"/>
      <c r="J195" s="72"/>
      <c r="K195" s="36"/>
      <c r="L195" s="79">
        <v>195</v>
      </c>
      <c r="M195" s="79"/>
      <c r="N195" s="74"/>
      <c r="O195" s="81" t="s">
        <v>1235</v>
      </c>
    </row>
    <row r="196" spans="1:15" ht="15">
      <c r="A196" s="66" t="s">
        <v>187</v>
      </c>
      <c r="B196" s="66" t="s">
        <v>382</v>
      </c>
      <c r="C196" s="67"/>
      <c r="D196" s="68"/>
      <c r="E196" s="69"/>
      <c r="F196" s="70"/>
      <c r="G196" s="67"/>
      <c r="H196" s="71"/>
      <c r="I196" s="72"/>
      <c r="J196" s="72"/>
      <c r="K196" s="36"/>
      <c r="L196" s="79">
        <v>196</v>
      </c>
      <c r="M196" s="79"/>
      <c r="N196" s="74"/>
      <c r="O196" s="81" t="s">
        <v>1235</v>
      </c>
    </row>
    <row r="197" spans="1:15" ht="15">
      <c r="A197" s="66" t="s">
        <v>187</v>
      </c>
      <c r="B197" s="66" t="s">
        <v>383</v>
      </c>
      <c r="C197" s="67"/>
      <c r="D197" s="68"/>
      <c r="E197" s="69"/>
      <c r="F197" s="70"/>
      <c r="G197" s="67"/>
      <c r="H197" s="71"/>
      <c r="I197" s="72"/>
      <c r="J197" s="72"/>
      <c r="K197" s="36"/>
      <c r="L197" s="79">
        <v>197</v>
      </c>
      <c r="M197" s="79"/>
      <c r="N197" s="74"/>
      <c r="O197" s="81" t="s">
        <v>1235</v>
      </c>
    </row>
    <row r="198" spans="1:15" ht="15">
      <c r="A198" s="66" t="s">
        <v>187</v>
      </c>
      <c r="B198" s="66" t="s">
        <v>384</v>
      </c>
      <c r="C198" s="67"/>
      <c r="D198" s="68"/>
      <c r="E198" s="69"/>
      <c r="F198" s="70"/>
      <c r="G198" s="67"/>
      <c r="H198" s="71"/>
      <c r="I198" s="72"/>
      <c r="J198" s="72"/>
      <c r="K198" s="36"/>
      <c r="L198" s="79">
        <v>198</v>
      </c>
      <c r="M198" s="79"/>
      <c r="N198" s="74"/>
      <c r="O198" s="81" t="s">
        <v>1235</v>
      </c>
    </row>
    <row r="199" spans="1:15" ht="15">
      <c r="A199" s="66" t="s">
        <v>187</v>
      </c>
      <c r="B199" s="66" t="s">
        <v>385</v>
      </c>
      <c r="C199" s="67"/>
      <c r="D199" s="68"/>
      <c r="E199" s="69"/>
      <c r="F199" s="70"/>
      <c r="G199" s="67"/>
      <c r="H199" s="71"/>
      <c r="I199" s="72"/>
      <c r="J199" s="72"/>
      <c r="K199" s="36"/>
      <c r="L199" s="79">
        <v>199</v>
      </c>
      <c r="M199" s="79"/>
      <c r="N199" s="74"/>
      <c r="O199" s="81" t="s">
        <v>1235</v>
      </c>
    </row>
    <row r="200" spans="1:15" ht="15">
      <c r="A200" s="66" t="s">
        <v>187</v>
      </c>
      <c r="B200" s="66" t="s">
        <v>340</v>
      </c>
      <c r="C200" s="67"/>
      <c r="D200" s="68"/>
      <c r="E200" s="69"/>
      <c r="F200" s="70"/>
      <c r="G200" s="67"/>
      <c r="H200" s="71"/>
      <c r="I200" s="72"/>
      <c r="J200" s="72"/>
      <c r="K200" s="36"/>
      <c r="L200" s="79">
        <v>200</v>
      </c>
      <c r="M200" s="79"/>
      <c r="N200" s="74"/>
      <c r="O200" s="81" t="s">
        <v>1235</v>
      </c>
    </row>
    <row r="201" spans="1:15" ht="15">
      <c r="A201" s="66" t="s">
        <v>187</v>
      </c>
      <c r="B201" s="66" t="s">
        <v>220</v>
      </c>
      <c r="C201" s="67"/>
      <c r="D201" s="68"/>
      <c r="E201" s="69"/>
      <c r="F201" s="70"/>
      <c r="G201" s="67"/>
      <c r="H201" s="71"/>
      <c r="I201" s="72"/>
      <c r="J201" s="72"/>
      <c r="K201" s="36"/>
      <c r="L201" s="79">
        <v>201</v>
      </c>
      <c r="M201" s="79"/>
      <c r="N201" s="74"/>
      <c r="O201" s="81" t="s">
        <v>1235</v>
      </c>
    </row>
    <row r="202" spans="1:15" ht="15">
      <c r="A202" s="66" t="s">
        <v>187</v>
      </c>
      <c r="B202" s="66" t="s">
        <v>227</v>
      </c>
      <c r="C202" s="67"/>
      <c r="D202" s="68"/>
      <c r="E202" s="69"/>
      <c r="F202" s="70"/>
      <c r="G202" s="67"/>
      <c r="H202" s="71"/>
      <c r="I202" s="72"/>
      <c r="J202" s="72"/>
      <c r="K202" s="36"/>
      <c r="L202" s="79">
        <v>202</v>
      </c>
      <c r="M202" s="79"/>
      <c r="N202" s="74"/>
      <c r="O202" s="81" t="s">
        <v>1235</v>
      </c>
    </row>
    <row r="203" spans="1:15" ht="15">
      <c r="A203" s="66" t="s">
        <v>187</v>
      </c>
      <c r="B203" s="66" t="s">
        <v>346</v>
      </c>
      <c r="C203" s="67"/>
      <c r="D203" s="68"/>
      <c r="E203" s="69"/>
      <c r="F203" s="70"/>
      <c r="G203" s="67"/>
      <c r="H203" s="71"/>
      <c r="I203" s="72"/>
      <c r="J203" s="72"/>
      <c r="K203" s="36"/>
      <c r="L203" s="79">
        <v>203</v>
      </c>
      <c r="M203" s="79"/>
      <c r="N203" s="74"/>
      <c r="O203" s="81" t="s">
        <v>1235</v>
      </c>
    </row>
    <row r="204" spans="1:15" ht="15">
      <c r="A204" s="66" t="s">
        <v>187</v>
      </c>
      <c r="B204" s="66" t="s">
        <v>386</v>
      </c>
      <c r="C204" s="67"/>
      <c r="D204" s="68"/>
      <c r="E204" s="69"/>
      <c r="F204" s="70"/>
      <c r="G204" s="67"/>
      <c r="H204" s="71"/>
      <c r="I204" s="72"/>
      <c r="J204" s="72"/>
      <c r="K204" s="36"/>
      <c r="L204" s="79">
        <v>204</v>
      </c>
      <c r="M204" s="79"/>
      <c r="N204" s="74"/>
      <c r="O204" s="81" t="s">
        <v>1235</v>
      </c>
    </row>
    <row r="205" spans="1:15" ht="15">
      <c r="A205" s="66" t="s">
        <v>187</v>
      </c>
      <c r="B205" s="66" t="s">
        <v>387</v>
      </c>
      <c r="C205" s="67"/>
      <c r="D205" s="68"/>
      <c r="E205" s="69"/>
      <c r="F205" s="70"/>
      <c r="G205" s="67"/>
      <c r="H205" s="71"/>
      <c r="I205" s="72"/>
      <c r="J205" s="72"/>
      <c r="K205" s="36"/>
      <c r="L205" s="79">
        <v>205</v>
      </c>
      <c r="M205" s="79"/>
      <c r="N205" s="74"/>
      <c r="O205" s="81" t="s">
        <v>1235</v>
      </c>
    </row>
    <row r="206" spans="1:15" ht="15">
      <c r="A206" s="66" t="s">
        <v>187</v>
      </c>
      <c r="B206" s="66" t="s">
        <v>339</v>
      </c>
      <c r="C206" s="67"/>
      <c r="D206" s="68"/>
      <c r="E206" s="69"/>
      <c r="F206" s="70"/>
      <c r="G206" s="67"/>
      <c r="H206" s="71"/>
      <c r="I206" s="72"/>
      <c r="J206" s="72"/>
      <c r="K206" s="36"/>
      <c r="L206" s="79">
        <v>206</v>
      </c>
      <c r="M206" s="79"/>
      <c r="N206" s="74"/>
      <c r="O206" s="81" t="s">
        <v>1235</v>
      </c>
    </row>
    <row r="207" spans="1:15" ht="15">
      <c r="A207" s="66" t="s">
        <v>187</v>
      </c>
      <c r="B207" s="66" t="s">
        <v>388</v>
      </c>
      <c r="C207" s="67"/>
      <c r="D207" s="68"/>
      <c r="E207" s="69"/>
      <c r="F207" s="70"/>
      <c r="G207" s="67"/>
      <c r="H207" s="71"/>
      <c r="I207" s="72"/>
      <c r="J207" s="72"/>
      <c r="K207" s="36"/>
      <c r="L207" s="79">
        <v>207</v>
      </c>
      <c r="M207" s="79"/>
      <c r="N207" s="74"/>
      <c r="O207" s="81" t="s">
        <v>1235</v>
      </c>
    </row>
    <row r="208" spans="1:15" ht="15">
      <c r="A208" s="66" t="s">
        <v>187</v>
      </c>
      <c r="B208" s="66" t="s">
        <v>222</v>
      </c>
      <c r="C208" s="67"/>
      <c r="D208" s="68"/>
      <c r="E208" s="69"/>
      <c r="F208" s="70"/>
      <c r="G208" s="67"/>
      <c r="H208" s="71"/>
      <c r="I208" s="72"/>
      <c r="J208" s="72"/>
      <c r="K208" s="36"/>
      <c r="L208" s="79">
        <v>208</v>
      </c>
      <c r="M208" s="79"/>
      <c r="N208" s="74"/>
      <c r="O208" s="81" t="s">
        <v>1235</v>
      </c>
    </row>
    <row r="209" spans="1:15" ht="15">
      <c r="A209" s="66" t="s">
        <v>187</v>
      </c>
      <c r="B209" s="66" t="s">
        <v>389</v>
      </c>
      <c r="C209" s="67"/>
      <c r="D209" s="68"/>
      <c r="E209" s="69"/>
      <c r="F209" s="70"/>
      <c r="G209" s="67"/>
      <c r="H209" s="71"/>
      <c r="I209" s="72"/>
      <c r="J209" s="72"/>
      <c r="K209" s="36"/>
      <c r="L209" s="79">
        <v>209</v>
      </c>
      <c r="M209" s="79"/>
      <c r="N209" s="74"/>
      <c r="O209" s="81" t="s">
        <v>1235</v>
      </c>
    </row>
    <row r="210" spans="1:15" ht="15">
      <c r="A210" s="66" t="s">
        <v>187</v>
      </c>
      <c r="B210" s="66" t="s">
        <v>390</v>
      </c>
      <c r="C210" s="67"/>
      <c r="D210" s="68"/>
      <c r="E210" s="69"/>
      <c r="F210" s="70"/>
      <c r="G210" s="67"/>
      <c r="H210" s="71"/>
      <c r="I210" s="72"/>
      <c r="J210" s="72"/>
      <c r="K210" s="36"/>
      <c r="L210" s="79">
        <v>210</v>
      </c>
      <c r="M210" s="79"/>
      <c r="N210" s="74"/>
      <c r="O210" s="81" t="s">
        <v>1235</v>
      </c>
    </row>
    <row r="211" spans="1:15" ht="15">
      <c r="A211" s="66" t="s">
        <v>187</v>
      </c>
      <c r="B211" s="66" t="s">
        <v>221</v>
      </c>
      <c r="C211" s="67"/>
      <c r="D211" s="68"/>
      <c r="E211" s="69"/>
      <c r="F211" s="70"/>
      <c r="G211" s="67"/>
      <c r="H211" s="71"/>
      <c r="I211" s="72"/>
      <c r="J211" s="72"/>
      <c r="K211" s="36"/>
      <c r="L211" s="79">
        <v>211</v>
      </c>
      <c r="M211" s="79"/>
      <c r="N211" s="74"/>
      <c r="O211" s="81" t="s">
        <v>1235</v>
      </c>
    </row>
    <row r="212" spans="1:15" ht="15">
      <c r="A212" s="66" t="s">
        <v>187</v>
      </c>
      <c r="B212" s="66" t="s">
        <v>349</v>
      </c>
      <c r="C212" s="67"/>
      <c r="D212" s="68"/>
      <c r="E212" s="69"/>
      <c r="F212" s="70"/>
      <c r="G212" s="67"/>
      <c r="H212" s="71"/>
      <c r="I212" s="72"/>
      <c r="J212" s="72"/>
      <c r="K212" s="36"/>
      <c r="L212" s="79">
        <v>212</v>
      </c>
      <c r="M212" s="79"/>
      <c r="N212" s="74"/>
      <c r="O212" s="81" t="s">
        <v>1235</v>
      </c>
    </row>
    <row r="213" spans="1:15" ht="15">
      <c r="A213" s="66" t="s">
        <v>187</v>
      </c>
      <c r="B213" s="66" t="s">
        <v>391</v>
      </c>
      <c r="C213" s="67"/>
      <c r="D213" s="68"/>
      <c r="E213" s="69"/>
      <c r="F213" s="70"/>
      <c r="G213" s="67"/>
      <c r="H213" s="71"/>
      <c r="I213" s="72"/>
      <c r="J213" s="72"/>
      <c r="K213" s="36"/>
      <c r="L213" s="79">
        <v>213</v>
      </c>
      <c r="M213" s="79"/>
      <c r="N213" s="74"/>
      <c r="O213" s="81" t="s">
        <v>1235</v>
      </c>
    </row>
    <row r="214" spans="1:15" ht="15">
      <c r="A214" s="66" t="s">
        <v>188</v>
      </c>
      <c r="B214" s="66" t="s">
        <v>392</v>
      </c>
      <c r="C214" s="67"/>
      <c r="D214" s="68"/>
      <c r="E214" s="69"/>
      <c r="F214" s="70"/>
      <c r="G214" s="67"/>
      <c r="H214" s="71"/>
      <c r="I214" s="72"/>
      <c r="J214" s="72"/>
      <c r="K214" s="36"/>
      <c r="L214" s="79">
        <v>214</v>
      </c>
      <c r="M214" s="79"/>
      <c r="N214" s="74"/>
      <c r="O214" s="81" t="s">
        <v>1235</v>
      </c>
    </row>
    <row r="215" spans="1:15" ht="15">
      <c r="A215" s="66" t="s">
        <v>188</v>
      </c>
      <c r="B215" s="66" t="s">
        <v>393</v>
      </c>
      <c r="C215" s="67"/>
      <c r="D215" s="68"/>
      <c r="E215" s="69"/>
      <c r="F215" s="70"/>
      <c r="G215" s="67"/>
      <c r="H215" s="71"/>
      <c r="I215" s="72"/>
      <c r="J215" s="72"/>
      <c r="K215" s="36"/>
      <c r="L215" s="79">
        <v>215</v>
      </c>
      <c r="M215" s="79"/>
      <c r="N215" s="74"/>
      <c r="O215" s="81" t="s">
        <v>1235</v>
      </c>
    </row>
    <row r="216" spans="1:15" ht="15">
      <c r="A216" s="66" t="s">
        <v>188</v>
      </c>
      <c r="B216" s="66" t="s">
        <v>394</v>
      </c>
      <c r="C216" s="67"/>
      <c r="D216" s="68"/>
      <c r="E216" s="69"/>
      <c r="F216" s="70"/>
      <c r="G216" s="67"/>
      <c r="H216" s="71"/>
      <c r="I216" s="72"/>
      <c r="J216" s="72"/>
      <c r="K216" s="36"/>
      <c r="L216" s="79">
        <v>216</v>
      </c>
      <c r="M216" s="79"/>
      <c r="N216" s="74"/>
      <c r="O216" s="81" t="s">
        <v>1235</v>
      </c>
    </row>
    <row r="217" spans="1:15" ht="15">
      <c r="A217" s="66" t="s">
        <v>188</v>
      </c>
      <c r="B217" s="66" t="s">
        <v>395</v>
      </c>
      <c r="C217" s="67"/>
      <c r="D217" s="68"/>
      <c r="E217" s="69"/>
      <c r="F217" s="70"/>
      <c r="G217" s="67"/>
      <c r="H217" s="71"/>
      <c r="I217" s="72"/>
      <c r="J217" s="72"/>
      <c r="K217" s="36"/>
      <c r="L217" s="79">
        <v>217</v>
      </c>
      <c r="M217" s="79"/>
      <c r="N217" s="74"/>
      <c r="O217" s="81" t="s">
        <v>1235</v>
      </c>
    </row>
    <row r="218" spans="1:15" ht="15">
      <c r="A218" s="66" t="s">
        <v>188</v>
      </c>
      <c r="B218" s="66" t="s">
        <v>396</v>
      </c>
      <c r="C218" s="67"/>
      <c r="D218" s="68"/>
      <c r="E218" s="69"/>
      <c r="F218" s="70"/>
      <c r="G218" s="67"/>
      <c r="H218" s="71"/>
      <c r="I218" s="72"/>
      <c r="J218" s="72"/>
      <c r="K218" s="36"/>
      <c r="L218" s="79">
        <v>218</v>
      </c>
      <c r="M218" s="79"/>
      <c r="N218" s="74"/>
      <c r="O218" s="81" t="s">
        <v>1235</v>
      </c>
    </row>
    <row r="219" spans="1:15" ht="15">
      <c r="A219" s="66" t="s">
        <v>188</v>
      </c>
      <c r="B219" s="66" t="s">
        <v>397</v>
      </c>
      <c r="C219" s="67"/>
      <c r="D219" s="68"/>
      <c r="E219" s="69"/>
      <c r="F219" s="70"/>
      <c r="G219" s="67"/>
      <c r="H219" s="71"/>
      <c r="I219" s="72"/>
      <c r="J219" s="72"/>
      <c r="K219" s="36"/>
      <c r="L219" s="79">
        <v>219</v>
      </c>
      <c r="M219" s="79"/>
      <c r="N219" s="74"/>
      <c r="O219" s="81" t="s">
        <v>1235</v>
      </c>
    </row>
    <row r="220" spans="1:15" ht="15">
      <c r="A220" s="66" t="s">
        <v>188</v>
      </c>
      <c r="B220" s="66" t="s">
        <v>398</v>
      </c>
      <c r="C220" s="67"/>
      <c r="D220" s="68"/>
      <c r="E220" s="69"/>
      <c r="F220" s="70"/>
      <c r="G220" s="67"/>
      <c r="H220" s="71"/>
      <c r="I220" s="72"/>
      <c r="J220" s="72"/>
      <c r="K220" s="36"/>
      <c r="L220" s="79">
        <v>220</v>
      </c>
      <c r="M220" s="79"/>
      <c r="N220" s="74"/>
      <c r="O220" s="81" t="s">
        <v>1235</v>
      </c>
    </row>
    <row r="221" spans="1:15" ht="15">
      <c r="A221" s="66" t="s">
        <v>188</v>
      </c>
      <c r="B221" s="66" t="s">
        <v>399</v>
      </c>
      <c r="C221" s="67"/>
      <c r="D221" s="68"/>
      <c r="E221" s="69"/>
      <c r="F221" s="70"/>
      <c r="G221" s="67"/>
      <c r="H221" s="71"/>
      <c r="I221" s="72"/>
      <c r="J221" s="72"/>
      <c r="K221" s="36"/>
      <c r="L221" s="79">
        <v>221</v>
      </c>
      <c r="M221" s="79"/>
      <c r="N221" s="74"/>
      <c r="O221" s="81" t="s">
        <v>1235</v>
      </c>
    </row>
    <row r="222" spans="1:15" ht="15">
      <c r="A222" s="66" t="s">
        <v>188</v>
      </c>
      <c r="B222" s="66" t="s">
        <v>400</v>
      </c>
      <c r="C222" s="67"/>
      <c r="D222" s="68"/>
      <c r="E222" s="69"/>
      <c r="F222" s="70"/>
      <c r="G222" s="67"/>
      <c r="H222" s="71"/>
      <c r="I222" s="72"/>
      <c r="J222" s="72"/>
      <c r="K222" s="36"/>
      <c r="L222" s="79">
        <v>222</v>
      </c>
      <c r="M222" s="79"/>
      <c r="N222" s="74"/>
      <c r="O222" s="81" t="s">
        <v>1235</v>
      </c>
    </row>
    <row r="223" spans="1:15" ht="15">
      <c r="A223" s="66" t="s">
        <v>188</v>
      </c>
      <c r="B223" s="66" t="s">
        <v>401</v>
      </c>
      <c r="C223" s="67"/>
      <c r="D223" s="68"/>
      <c r="E223" s="69"/>
      <c r="F223" s="70"/>
      <c r="G223" s="67"/>
      <c r="H223" s="71"/>
      <c r="I223" s="72"/>
      <c r="J223" s="72"/>
      <c r="K223" s="36"/>
      <c r="L223" s="79">
        <v>223</v>
      </c>
      <c r="M223" s="79"/>
      <c r="N223" s="74"/>
      <c r="O223" s="81" t="s">
        <v>1235</v>
      </c>
    </row>
    <row r="224" spans="1:15" ht="15">
      <c r="A224" s="66" t="s">
        <v>188</v>
      </c>
      <c r="B224" s="66" t="s">
        <v>402</v>
      </c>
      <c r="C224" s="67"/>
      <c r="D224" s="68"/>
      <c r="E224" s="69"/>
      <c r="F224" s="70"/>
      <c r="G224" s="67"/>
      <c r="H224" s="71"/>
      <c r="I224" s="72"/>
      <c r="J224" s="72"/>
      <c r="K224" s="36"/>
      <c r="L224" s="79">
        <v>224</v>
      </c>
      <c r="M224" s="79"/>
      <c r="N224" s="74"/>
      <c r="O224" s="81" t="s">
        <v>1235</v>
      </c>
    </row>
    <row r="225" spans="1:15" ht="15">
      <c r="A225" s="66" t="s">
        <v>188</v>
      </c>
      <c r="B225" s="66" t="s">
        <v>403</v>
      </c>
      <c r="C225" s="67"/>
      <c r="D225" s="68"/>
      <c r="E225" s="69"/>
      <c r="F225" s="70"/>
      <c r="G225" s="67"/>
      <c r="H225" s="71"/>
      <c r="I225" s="72"/>
      <c r="J225" s="72"/>
      <c r="K225" s="36"/>
      <c r="L225" s="79">
        <v>225</v>
      </c>
      <c r="M225" s="79"/>
      <c r="N225" s="74"/>
      <c r="O225" s="81" t="s">
        <v>1235</v>
      </c>
    </row>
    <row r="226" spans="1:15" ht="15">
      <c r="A226" s="66" t="s">
        <v>188</v>
      </c>
      <c r="B226" s="66" t="s">
        <v>404</v>
      </c>
      <c r="C226" s="67"/>
      <c r="D226" s="68"/>
      <c r="E226" s="69"/>
      <c r="F226" s="70"/>
      <c r="G226" s="67"/>
      <c r="H226" s="71"/>
      <c r="I226" s="72"/>
      <c r="J226" s="72"/>
      <c r="K226" s="36"/>
      <c r="L226" s="79">
        <v>226</v>
      </c>
      <c r="M226" s="79"/>
      <c r="N226" s="74"/>
      <c r="O226" s="81" t="s">
        <v>1235</v>
      </c>
    </row>
    <row r="227" spans="1:15" ht="15">
      <c r="A227" s="66" t="s">
        <v>188</v>
      </c>
      <c r="B227" s="66" t="s">
        <v>405</v>
      </c>
      <c r="C227" s="67"/>
      <c r="D227" s="68"/>
      <c r="E227" s="69"/>
      <c r="F227" s="70"/>
      <c r="G227" s="67"/>
      <c r="H227" s="71"/>
      <c r="I227" s="72"/>
      <c r="J227" s="72"/>
      <c r="K227" s="36"/>
      <c r="L227" s="79">
        <v>227</v>
      </c>
      <c r="M227" s="79"/>
      <c r="N227" s="74"/>
      <c r="O227" s="81" t="s">
        <v>1235</v>
      </c>
    </row>
    <row r="228" spans="1:15" ht="15">
      <c r="A228" s="66" t="s">
        <v>188</v>
      </c>
      <c r="B228" s="66" t="s">
        <v>406</v>
      </c>
      <c r="C228" s="67"/>
      <c r="D228" s="68"/>
      <c r="E228" s="69"/>
      <c r="F228" s="70"/>
      <c r="G228" s="67"/>
      <c r="H228" s="71"/>
      <c r="I228" s="72"/>
      <c r="J228" s="72"/>
      <c r="K228" s="36"/>
      <c r="L228" s="79">
        <v>228</v>
      </c>
      <c r="M228" s="79"/>
      <c r="N228" s="74"/>
      <c r="O228" s="81" t="s">
        <v>1235</v>
      </c>
    </row>
    <row r="229" spans="1:15" ht="15">
      <c r="A229" s="66" t="s">
        <v>188</v>
      </c>
      <c r="B229" s="66" t="s">
        <v>407</v>
      </c>
      <c r="C229" s="67"/>
      <c r="D229" s="68"/>
      <c r="E229" s="69"/>
      <c r="F229" s="70"/>
      <c r="G229" s="67"/>
      <c r="H229" s="71"/>
      <c r="I229" s="72"/>
      <c r="J229" s="72"/>
      <c r="K229" s="36"/>
      <c r="L229" s="79">
        <v>229</v>
      </c>
      <c r="M229" s="79"/>
      <c r="N229" s="74"/>
      <c r="O229" s="81" t="s">
        <v>1235</v>
      </c>
    </row>
    <row r="230" spans="1:15" ht="15">
      <c r="A230" s="66" t="s">
        <v>188</v>
      </c>
      <c r="B230" s="66" t="s">
        <v>408</v>
      </c>
      <c r="C230" s="67"/>
      <c r="D230" s="68"/>
      <c r="E230" s="69"/>
      <c r="F230" s="70"/>
      <c r="G230" s="67"/>
      <c r="H230" s="71"/>
      <c r="I230" s="72"/>
      <c r="J230" s="72"/>
      <c r="K230" s="36"/>
      <c r="L230" s="79">
        <v>230</v>
      </c>
      <c r="M230" s="79"/>
      <c r="N230" s="74"/>
      <c r="O230" s="81" t="s">
        <v>1235</v>
      </c>
    </row>
    <row r="231" spans="1:15" ht="15">
      <c r="A231" s="66" t="s">
        <v>188</v>
      </c>
      <c r="B231" s="66" t="s">
        <v>409</v>
      </c>
      <c r="C231" s="67"/>
      <c r="D231" s="68"/>
      <c r="E231" s="69"/>
      <c r="F231" s="70"/>
      <c r="G231" s="67"/>
      <c r="H231" s="71"/>
      <c r="I231" s="72"/>
      <c r="J231" s="72"/>
      <c r="K231" s="36"/>
      <c r="L231" s="79">
        <v>231</v>
      </c>
      <c r="M231" s="79"/>
      <c r="N231" s="74"/>
      <c r="O231" s="81" t="s">
        <v>1235</v>
      </c>
    </row>
    <row r="232" spans="1:15" ht="15">
      <c r="A232" s="66" t="s">
        <v>188</v>
      </c>
      <c r="B232" s="66" t="s">
        <v>410</v>
      </c>
      <c r="C232" s="67"/>
      <c r="D232" s="68"/>
      <c r="E232" s="69"/>
      <c r="F232" s="70"/>
      <c r="G232" s="67"/>
      <c r="H232" s="71"/>
      <c r="I232" s="72"/>
      <c r="J232" s="72"/>
      <c r="K232" s="36"/>
      <c r="L232" s="79">
        <v>232</v>
      </c>
      <c r="M232" s="79"/>
      <c r="N232" s="74"/>
      <c r="O232" s="81" t="s">
        <v>1235</v>
      </c>
    </row>
    <row r="233" spans="1:15" ht="15">
      <c r="A233" s="66" t="s">
        <v>188</v>
      </c>
      <c r="B233" s="66" t="s">
        <v>411</v>
      </c>
      <c r="C233" s="67"/>
      <c r="D233" s="68"/>
      <c r="E233" s="69"/>
      <c r="F233" s="70"/>
      <c r="G233" s="67"/>
      <c r="H233" s="71"/>
      <c r="I233" s="72"/>
      <c r="J233" s="72"/>
      <c r="K233" s="36"/>
      <c r="L233" s="79">
        <v>233</v>
      </c>
      <c r="M233" s="79"/>
      <c r="N233" s="74"/>
      <c r="O233" s="81" t="s">
        <v>1235</v>
      </c>
    </row>
    <row r="234" spans="1:15" ht="15">
      <c r="A234" s="66" t="s">
        <v>188</v>
      </c>
      <c r="B234" s="66" t="s">
        <v>412</v>
      </c>
      <c r="C234" s="67"/>
      <c r="D234" s="68"/>
      <c r="E234" s="69"/>
      <c r="F234" s="70"/>
      <c r="G234" s="67"/>
      <c r="H234" s="71"/>
      <c r="I234" s="72"/>
      <c r="J234" s="72"/>
      <c r="K234" s="36"/>
      <c r="L234" s="79">
        <v>234</v>
      </c>
      <c r="M234" s="79"/>
      <c r="N234" s="74"/>
      <c r="O234" s="81" t="s">
        <v>1235</v>
      </c>
    </row>
    <row r="235" spans="1:15" ht="15">
      <c r="A235" s="66" t="s">
        <v>189</v>
      </c>
      <c r="B235" s="66" t="s">
        <v>272</v>
      </c>
      <c r="C235" s="67"/>
      <c r="D235" s="68"/>
      <c r="E235" s="69"/>
      <c r="F235" s="70"/>
      <c r="G235" s="67"/>
      <c r="H235" s="71"/>
      <c r="I235" s="72"/>
      <c r="J235" s="72"/>
      <c r="K235" s="36"/>
      <c r="L235" s="79">
        <v>235</v>
      </c>
      <c r="M235" s="79"/>
      <c r="N235" s="74"/>
      <c r="O235" s="81" t="s">
        <v>1235</v>
      </c>
    </row>
    <row r="236" spans="1:15" ht="15">
      <c r="A236" s="66" t="s">
        <v>189</v>
      </c>
      <c r="B236" s="66" t="s">
        <v>228</v>
      </c>
      <c r="C236" s="67"/>
      <c r="D236" s="68"/>
      <c r="E236" s="69"/>
      <c r="F236" s="70"/>
      <c r="G236" s="67"/>
      <c r="H236" s="71"/>
      <c r="I236" s="72"/>
      <c r="J236" s="72"/>
      <c r="K236" s="36"/>
      <c r="L236" s="79">
        <v>236</v>
      </c>
      <c r="M236" s="79"/>
      <c r="N236" s="74"/>
      <c r="O236" s="81" t="s">
        <v>1235</v>
      </c>
    </row>
    <row r="237" spans="1:15" ht="15">
      <c r="A237" s="66" t="s">
        <v>189</v>
      </c>
      <c r="B237" s="66" t="s">
        <v>229</v>
      </c>
      <c r="C237" s="67"/>
      <c r="D237" s="68"/>
      <c r="E237" s="69"/>
      <c r="F237" s="70"/>
      <c r="G237" s="67"/>
      <c r="H237" s="71"/>
      <c r="I237" s="72"/>
      <c r="J237" s="72"/>
      <c r="K237" s="36"/>
      <c r="L237" s="79">
        <v>237</v>
      </c>
      <c r="M237" s="79"/>
      <c r="N237" s="74"/>
      <c r="O237" s="81" t="s">
        <v>1235</v>
      </c>
    </row>
    <row r="238" spans="1:15" ht="15">
      <c r="A238" s="66" t="s">
        <v>189</v>
      </c>
      <c r="B238" s="66" t="s">
        <v>230</v>
      </c>
      <c r="C238" s="67"/>
      <c r="D238" s="68"/>
      <c r="E238" s="69"/>
      <c r="F238" s="70"/>
      <c r="G238" s="67"/>
      <c r="H238" s="71"/>
      <c r="I238" s="72"/>
      <c r="J238" s="72"/>
      <c r="K238" s="36"/>
      <c r="L238" s="79">
        <v>238</v>
      </c>
      <c r="M238" s="79"/>
      <c r="N238" s="74"/>
      <c r="O238" s="81" t="s">
        <v>1235</v>
      </c>
    </row>
    <row r="239" spans="1:15" ht="15">
      <c r="A239" s="66" t="s">
        <v>189</v>
      </c>
      <c r="B239" s="66" t="s">
        <v>231</v>
      </c>
      <c r="C239" s="67"/>
      <c r="D239" s="68"/>
      <c r="E239" s="69"/>
      <c r="F239" s="70"/>
      <c r="G239" s="67"/>
      <c r="H239" s="71"/>
      <c r="I239" s="72"/>
      <c r="J239" s="72"/>
      <c r="K239" s="36"/>
      <c r="L239" s="79">
        <v>239</v>
      </c>
      <c r="M239" s="79"/>
      <c r="N239" s="74"/>
      <c r="O239" s="81" t="s">
        <v>1235</v>
      </c>
    </row>
    <row r="240" spans="1:15" ht="15">
      <c r="A240" s="66" t="s">
        <v>189</v>
      </c>
      <c r="B240" s="66" t="s">
        <v>232</v>
      </c>
      <c r="C240" s="67"/>
      <c r="D240" s="68"/>
      <c r="E240" s="69"/>
      <c r="F240" s="70"/>
      <c r="G240" s="67"/>
      <c r="H240" s="71"/>
      <c r="I240" s="72"/>
      <c r="J240" s="72"/>
      <c r="K240" s="36"/>
      <c r="L240" s="79">
        <v>240</v>
      </c>
      <c r="M240" s="79"/>
      <c r="N240" s="74"/>
      <c r="O240" s="81" t="s">
        <v>1235</v>
      </c>
    </row>
    <row r="241" spans="1:15" ht="15">
      <c r="A241" s="66" t="s">
        <v>189</v>
      </c>
      <c r="B241" s="66" t="s">
        <v>238</v>
      </c>
      <c r="C241" s="67"/>
      <c r="D241" s="68"/>
      <c r="E241" s="69"/>
      <c r="F241" s="70"/>
      <c r="G241" s="67"/>
      <c r="H241" s="71"/>
      <c r="I241" s="72"/>
      <c r="J241" s="72"/>
      <c r="K241" s="36"/>
      <c r="L241" s="79">
        <v>241</v>
      </c>
      <c r="M241" s="79"/>
      <c r="N241" s="74"/>
      <c r="O241" s="81" t="s">
        <v>1235</v>
      </c>
    </row>
    <row r="242" spans="1:15" ht="15">
      <c r="A242" s="66" t="s">
        <v>189</v>
      </c>
      <c r="B242" s="66" t="s">
        <v>233</v>
      </c>
      <c r="C242" s="67"/>
      <c r="D242" s="68"/>
      <c r="E242" s="69"/>
      <c r="F242" s="70"/>
      <c r="G242" s="67"/>
      <c r="H242" s="71"/>
      <c r="I242" s="72"/>
      <c r="J242" s="72"/>
      <c r="K242" s="36"/>
      <c r="L242" s="79">
        <v>242</v>
      </c>
      <c r="M242" s="79"/>
      <c r="N242" s="74"/>
      <c r="O242" s="81" t="s">
        <v>1235</v>
      </c>
    </row>
    <row r="243" spans="1:15" ht="15">
      <c r="A243" s="66" t="s">
        <v>189</v>
      </c>
      <c r="B243" s="66" t="s">
        <v>237</v>
      </c>
      <c r="C243" s="67"/>
      <c r="D243" s="68"/>
      <c r="E243" s="69"/>
      <c r="F243" s="70"/>
      <c r="G243" s="67"/>
      <c r="H243" s="71"/>
      <c r="I243" s="72"/>
      <c r="J243" s="72"/>
      <c r="K243" s="36"/>
      <c r="L243" s="79">
        <v>243</v>
      </c>
      <c r="M243" s="79"/>
      <c r="N243" s="74"/>
      <c r="O243" s="81" t="s">
        <v>1235</v>
      </c>
    </row>
    <row r="244" spans="1:15" ht="15">
      <c r="A244" s="66" t="s">
        <v>189</v>
      </c>
      <c r="B244" s="66" t="s">
        <v>235</v>
      </c>
      <c r="C244" s="67"/>
      <c r="D244" s="68"/>
      <c r="E244" s="69"/>
      <c r="F244" s="70"/>
      <c r="G244" s="67"/>
      <c r="H244" s="71"/>
      <c r="I244" s="72"/>
      <c r="J244" s="72"/>
      <c r="K244" s="36"/>
      <c r="L244" s="79">
        <v>244</v>
      </c>
      <c r="M244" s="79"/>
      <c r="N244" s="74"/>
      <c r="O244" s="81" t="s">
        <v>1235</v>
      </c>
    </row>
    <row r="245" spans="1:15" ht="15">
      <c r="A245" s="66" t="s">
        <v>189</v>
      </c>
      <c r="B245" s="66" t="s">
        <v>234</v>
      </c>
      <c r="C245" s="67"/>
      <c r="D245" s="68"/>
      <c r="E245" s="69"/>
      <c r="F245" s="70"/>
      <c r="G245" s="67"/>
      <c r="H245" s="71"/>
      <c r="I245" s="72"/>
      <c r="J245" s="72"/>
      <c r="K245" s="36"/>
      <c r="L245" s="79">
        <v>245</v>
      </c>
      <c r="M245" s="79"/>
      <c r="N245" s="74"/>
      <c r="O245" s="81" t="s">
        <v>1235</v>
      </c>
    </row>
    <row r="246" spans="1:15" ht="15">
      <c r="A246" s="66" t="s">
        <v>189</v>
      </c>
      <c r="B246" s="66" t="s">
        <v>236</v>
      </c>
      <c r="C246" s="67"/>
      <c r="D246" s="68"/>
      <c r="E246" s="69"/>
      <c r="F246" s="70"/>
      <c r="G246" s="67"/>
      <c r="H246" s="71"/>
      <c r="I246" s="72"/>
      <c r="J246" s="72"/>
      <c r="K246" s="36"/>
      <c r="L246" s="79">
        <v>246</v>
      </c>
      <c r="M246" s="79"/>
      <c r="N246" s="74"/>
      <c r="O246" s="81" t="s">
        <v>1235</v>
      </c>
    </row>
    <row r="247" spans="1:15" ht="15">
      <c r="A247" s="66" t="s">
        <v>189</v>
      </c>
      <c r="B247" s="66" t="s">
        <v>215</v>
      </c>
      <c r="C247" s="67"/>
      <c r="D247" s="68"/>
      <c r="E247" s="69"/>
      <c r="F247" s="70"/>
      <c r="G247" s="67"/>
      <c r="H247" s="71"/>
      <c r="I247" s="72"/>
      <c r="J247" s="72"/>
      <c r="K247" s="36"/>
      <c r="L247" s="79">
        <v>247</v>
      </c>
      <c r="M247" s="79"/>
      <c r="N247" s="74"/>
      <c r="O247" s="81" t="s">
        <v>1235</v>
      </c>
    </row>
    <row r="248" spans="1:15" ht="15">
      <c r="A248" s="66" t="s">
        <v>189</v>
      </c>
      <c r="B248" s="66" t="s">
        <v>225</v>
      </c>
      <c r="C248" s="67"/>
      <c r="D248" s="68"/>
      <c r="E248" s="69"/>
      <c r="F248" s="70"/>
      <c r="G248" s="67"/>
      <c r="H248" s="71"/>
      <c r="I248" s="72"/>
      <c r="J248" s="72"/>
      <c r="K248" s="36"/>
      <c r="L248" s="79">
        <v>248</v>
      </c>
      <c r="M248" s="79"/>
      <c r="N248" s="74"/>
      <c r="O248" s="81" t="s">
        <v>1235</v>
      </c>
    </row>
    <row r="249" spans="1:15" ht="15">
      <c r="A249" s="66" t="s">
        <v>190</v>
      </c>
      <c r="B249" s="66" t="s">
        <v>413</v>
      </c>
      <c r="C249" s="67"/>
      <c r="D249" s="68"/>
      <c r="E249" s="69"/>
      <c r="F249" s="70"/>
      <c r="G249" s="67"/>
      <c r="H249" s="71"/>
      <c r="I249" s="72"/>
      <c r="J249" s="72"/>
      <c r="K249" s="36"/>
      <c r="L249" s="79">
        <v>249</v>
      </c>
      <c r="M249" s="79"/>
      <c r="N249" s="74"/>
      <c r="O249" s="81" t="s">
        <v>1235</v>
      </c>
    </row>
    <row r="250" spans="1:15" ht="15">
      <c r="A250" s="66" t="s">
        <v>190</v>
      </c>
      <c r="B250" s="66" t="s">
        <v>414</v>
      </c>
      <c r="C250" s="67"/>
      <c r="D250" s="68"/>
      <c r="E250" s="69"/>
      <c r="F250" s="70"/>
      <c r="G250" s="67"/>
      <c r="H250" s="71"/>
      <c r="I250" s="72"/>
      <c r="J250" s="72"/>
      <c r="K250" s="36"/>
      <c r="L250" s="79">
        <v>250</v>
      </c>
      <c r="M250" s="79"/>
      <c r="N250" s="74"/>
      <c r="O250" s="81" t="s">
        <v>1235</v>
      </c>
    </row>
    <row r="251" spans="1:15" ht="15">
      <c r="A251" s="66" t="s">
        <v>190</v>
      </c>
      <c r="B251" s="66" t="s">
        <v>415</v>
      </c>
      <c r="C251" s="67"/>
      <c r="D251" s="68"/>
      <c r="E251" s="69"/>
      <c r="F251" s="70"/>
      <c r="G251" s="67"/>
      <c r="H251" s="71"/>
      <c r="I251" s="72"/>
      <c r="J251" s="72"/>
      <c r="K251" s="36"/>
      <c r="L251" s="79">
        <v>251</v>
      </c>
      <c r="M251" s="79"/>
      <c r="N251" s="74"/>
      <c r="O251" s="81" t="s">
        <v>1235</v>
      </c>
    </row>
    <row r="252" spans="1:15" ht="15">
      <c r="A252" s="66" t="s">
        <v>190</v>
      </c>
      <c r="B252" s="66" t="s">
        <v>416</v>
      </c>
      <c r="C252" s="67"/>
      <c r="D252" s="68"/>
      <c r="E252" s="69"/>
      <c r="F252" s="70"/>
      <c r="G252" s="67"/>
      <c r="H252" s="71"/>
      <c r="I252" s="72"/>
      <c r="J252" s="72"/>
      <c r="K252" s="36"/>
      <c r="L252" s="79">
        <v>252</v>
      </c>
      <c r="M252" s="79"/>
      <c r="N252" s="74"/>
      <c r="O252" s="81" t="s">
        <v>1235</v>
      </c>
    </row>
    <row r="253" spans="1:15" ht="15">
      <c r="A253" s="66" t="s">
        <v>190</v>
      </c>
      <c r="B253" s="66" t="s">
        <v>417</v>
      </c>
      <c r="C253" s="67"/>
      <c r="D253" s="68"/>
      <c r="E253" s="69"/>
      <c r="F253" s="70"/>
      <c r="G253" s="67"/>
      <c r="H253" s="71"/>
      <c r="I253" s="72"/>
      <c r="J253" s="72"/>
      <c r="K253" s="36"/>
      <c r="L253" s="79">
        <v>253</v>
      </c>
      <c r="M253" s="79"/>
      <c r="N253" s="74"/>
      <c r="O253" s="81" t="s">
        <v>1235</v>
      </c>
    </row>
    <row r="254" spans="1:15" ht="15">
      <c r="A254" s="66" t="s">
        <v>184</v>
      </c>
      <c r="B254" s="66" t="s">
        <v>418</v>
      </c>
      <c r="C254" s="67"/>
      <c r="D254" s="68"/>
      <c r="E254" s="69"/>
      <c r="F254" s="70"/>
      <c r="G254" s="67"/>
      <c r="H254" s="71"/>
      <c r="I254" s="72"/>
      <c r="J254" s="72"/>
      <c r="K254" s="36"/>
      <c r="L254" s="79">
        <v>254</v>
      </c>
      <c r="M254" s="79"/>
      <c r="N254" s="74"/>
      <c r="O254" s="81" t="s">
        <v>1235</v>
      </c>
    </row>
    <row r="255" spans="1:15" ht="15">
      <c r="A255" s="66" t="s">
        <v>190</v>
      </c>
      <c r="B255" s="66" t="s">
        <v>418</v>
      </c>
      <c r="C255" s="67"/>
      <c r="D255" s="68"/>
      <c r="E255" s="69"/>
      <c r="F255" s="70"/>
      <c r="G255" s="67"/>
      <c r="H255" s="71"/>
      <c r="I255" s="72"/>
      <c r="J255" s="72"/>
      <c r="K255" s="36"/>
      <c r="L255" s="79">
        <v>255</v>
      </c>
      <c r="M255" s="79"/>
      <c r="N255" s="74"/>
      <c r="O255" s="81" t="s">
        <v>1235</v>
      </c>
    </row>
    <row r="256" spans="1:15" ht="15">
      <c r="A256" s="66" t="s">
        <v>190</v>
      </c>
      <c r="B256" s="66" t="s">
        <v>419</v>
      </c>
      <c r="C256" s="67"/>
      <c r="D256" s="68"/>
      <c r="E256" s="69"/>
      <c r="F256" s="70"/>
      <c r="G256" s="67"/>
      <c r="H256" s="71"/>
      <c r="I256" s="72"/>
      <c r="J256" s="72"/>
      <c r="K256" s="36"/>
      <c r="L256" s="79">
        <v>256</v>
      </c>
      <c r="M256" s="79"/>
      <c r="N256" s="74"/>
      <c r="O256" s="81" t="s">
        <v>1235</v>
      </c>
    </row>
    <row r="257" spans="1:15" ht="15">
      <c r="A257" s="66" t="s">
        <v>184</v>
      </c>
      <c r="B257" s="66" t="s">
        <v>420</v>
      </c>
      <c r="C257" s="67"/>
      <c r="D257" s="68"/>
      <c r="E257" s="69"/>
      <c r="F257" s="70"/>
      <c r="G257" s="67"/>
      <c r="H257" s="71"/>
      <c r="I257" s="72"/>
      <c r="J257" s="72"/>
      <c r="K257" s="36"/>
      <c r="L257" s="79">
        <v>257</v>
      </c>
      <c r="M257" s="79"/>
      <c r="N257" s="74"/>
      <c r="O257" s="81" t="s">
        <v>1235</v>
      </c>
    </row>
    <row r="258" spans="1:15" ht="15">
      <c r="A258" s="66" t="s">
        <v>190</v>
      </c>
      <c r="B258" s="66" t="s">
        <v>420</v>
      </c>
      <c r="C258" s="67"/>
      <c r="D258" s="68"/>
      <c r="E258" s="69"/>
      <c r="F258" s="70"/>
      <c r="G258" s="67"/>
      <c r="H258" s="71"/>
      <c r="I258" s="72"/>
      <c r="J258" s="72"/>
      <c r="K258" s="36"/>
      <c r="L258" s="79">
        <v>258</v>
      </c>
      <c r="M258" s="79"/>
      <c r="N258" s="74"/>
      <c r="O258" s="81" t="s">
        <v>1235</v>
      </c>
    </row>
    <row r="259" spans="1:15" ht="15">
      <c r="A259" s="66" t="s">
        <v>190</v>
      </c>
      <c r="B259" s="66" t="s">
        <v>421</v>
      </c>
      <c r="C259" s="67"/>
      <c r="D259" s="68"/>
      <c r="E259" s="69"/>
      <c r="F259" s="70"/>
      <c r="G259" s="67"/>
      <c r="H259" s="71"/>
      <c r="I259" s="72"/>
      <c r="J259" s="72"/>
      <c r="K259" s="36"/>
      <c r="L259" s="79">
        <v>259</v>
      </c>
      <c r="M259" s="79"/>
      <c r="N259" s="74"/>
      <c r="O259" s="81" t="s">
        <v>1235</v>
      </c>
    </row>
    <row r="260" spans="1:15" ht="15">
      <c r="A260" s="66" t="s">
        <v>184</v>
      </c>
      <c r="B260" s="66" t="s">
        <v>422</v>
      </c>
      <c r="C260" s="67"/>
      <c r="D260" s="68"/>
      <c r="E260" s="69"/>
      <c r="F260" s="70"/>
      <c r="G260" s="67"/>
      <c r="H260" s="71"/>
      <c r="I260" s="72"/>
      <c r="J260" s="72"/>
      <c r="K260" s="36"/>
      <c r="L260" s="79">
        <v>260</v>
      </c>
      <c r="M260" s="79"/>
      <c r="N260" s="74"/>
      <c r="O260" s="81" t="s">
        <v>1235</v>
      </c>
    </row>
    <row r="261" spans="1:15" ht="15">
      <c r="A261" s="66" t="s">
        <v>190</v>
      </c>
      <c r="B261" s="66" t="s">
        <v>422</v>
      </c>
      <c r="C261" s="67"/>
      <c r="D261" s="68"/>
      <c r="E261" s="69"/>
      <c r="F261" s="70"/>
      <c r="G261" s="67"/>
      <c r="H261" s="71"/>
      <c r="I261" s="72"/>
      <c r="J261" s="72"/>
      <c r="K261" s="36"/>
      <c r="L261" s="79">
        <v>261</v>
      </c>
      <c r="M261" s="79"/>
      <c r="N261" s="74"/>
      <c r="O261" s="81" t="s">
        <v>1235</v>
      </c>
    </row>
    <row r="262" spans="1:15" ht="15">
      <c r="A262" s="66" t="s">
        <v>190</v>
      </c>
      <c r="B262" s="66" t="s">
        <v>423</v>
      </c>
      <c r="C262" s="67"/>
      <c r="D262" s="68"/>
      <c r="E262" s="69"/>
      <c r="F262" s="70"/>
      <c r="G262" s="67"/>
      <c r="H262" s="71"/>
      <c r="I262" s="72"/>
      <c r="J262" s="72"/>
      <c r="K262" s="36"/>
      <c r="L262" s="79">
        <v>262</v>
      </c>
      <c r="M262" s="79"/>
      <c r="N262" s="74"/>
      <c r="O262" s="81" t="s">
        <v>1235</v>
      </c>
    </row>
    <row r="263" spans="1:15" ht="15">
      <c r="A263" s="66" t="s">
        <v>190</v>
      </c>
      <c r="B263" s="66" t="s">
        <v>424</v>
      </c>
      <c r="C263" s="67"/>
      <c r="D263" s="68"/>
      <c r="E263" s="69"/>
      <c r="F263" s="70"/>
      <c r="G263" s="67"/>
      <c r="H263" s="71"/>
      <c r="I263" s="72"/>
      <c r="J263" s="72"/>
      <c r="K263" s="36"/>
      <c r="L263" s="79">
        <v>263</v>
      </c>
      <c r="M263" s="79"/>
      <c r="N263" s="74"/>
      <c r="O263" s="81" t="s">
        <v>1235</v>
      </c>
    </row>
    <row r="264" spans="1:15" ht="15">
      <c r="A264" s="66" t="s">
        <v>190</v>
      </c>
      <c r="B264" s="66" t="s">
        <v>425</v>
      </c>
      <c r="C264" s="67"/>
      <c r="D264" s="68"/>
      <c r="E264" s="69"/>
      <c r="F264" s="70"/>
      <c r="G264" s="67"/>
      <c r="H264" s="71"/>
      <c r="I264" s="72"/>
      <c r="J264" s="72"/>
      <c r="K264" s="36"/>
      <c r="L264" s="79">
        <v>264</v>
      </c>
      <c r="M264" s="79"/>
      <c r="N264" s="74"/>
      <c r="O264" s="81" t="s">
        <v>1235</v>
      </c>
    </row>
    <row r="265" spans="1:15" ht="15">
      <c r="A265" s="66" t="s">
        <v>190</v>
      </c>
      <c r="B265" s="66" t="s">
        <v>426</v>
      </c>
      <c r="C265" s="67"/>
      <c r="D265" s="68"/>
      <c r="E265" s="69"/>
      <c r="F265" s="70"/>
      <c r="G265" s="67"/>
      <c r="H265" s="71"/>
      <c r="I265" s="72"/>
      <c r="J265" s="72"/>
      <c r="K265" s="36"/>
      <c r="L265" s="79">
        <v>265</v>
      </c>
      <c r="M265" s="79"/>
      <c r="N265" s="74"/>
      <c r="O265" s="81" t="s">
        <v>1235</v>
      </c>
    </row>
    <row r="266" spans="1:15" ht="15">
      <c r="A266" s="66" t="s">
        <v>190</v>
      </c>
      <c r="B266" s="66" t="s">
        <v>427</v>
      </c>
      <c r="C266" s="67"/>
      <c r="D266" s="68"/>
      <c r="E266" s="69"/>
      <c r="F266" s="70"/>
      <c r="G266" s="67"/>
      <c r="H266" s="71"/>
      <c r="I266" s="72"/>
      <c r="J266" s="72"/>
      <c r="K266" s="36"/>
      <c r="L266" s="79">
        <v>266</v>
      </c>
      <c r="M266" s="79"/>
      <c r="N266" s="74"/>
      <c r="O266" s="81" t="s">
        <v>1235</v>
      </c>
    </row>
    <row r="267" spans="1:15" ht="15">
      <c r="A267" s="66" t="s">
        <v>190</v>
      </c>
      <c r="B267" s="66" t="s">
        <v>428</v>
      </c>
      <c r="C267" s="67"/>
      <c r="D267" s="68"/>
      <c r="E267" s="69"/>
      <c r="F267" s="70"/>
      <c r="G267" s="67"/>
      <c r="H267" s="71"/>
      <c r="I267" s="72"/>
      <c r="J267" s="72"/>
      <c r="K267" s="36"/>
      <c r="L267" s="79">
        <v>267</v>
      </c>
      <c r="M267" s="79"/>
      <c r="N267" s="74"/>
      <c r="O267" s="81" t="s">
        <v>1235</v>
      </c>
    </row>
    <row r="268" spans="1:15" ht="15">
      <c r="A268" s="66" t="s">
        <v>190</v>
      </c>
      <c r="B268" s="66" t="s">
        <v>429</v>
      </c>
      <c r="C268" s="67"/>
      <c r="D268" s="68"/>
      <c r="E268" s="69"/>
      <c r="F268" s="70"/>
      <c r="G268" s="67"/>
      <c r="H268" s="71"/>
      <c r="I268" s="72"/>
      <c r="J268" s="72"/>
      <c r="K268" s="36"/>
      <c r="L268" s="79">
        <v>268</v>
      </c>
      <c r="M268" s="79"/>
      <c r="N268" s="74"/>
      <c r="O268" s="81" t="s">
        <v>1235</v>
      </c>
    </row>
    <row r="269" spans="1:15" ht="15">
      <c r="A269" s="66" t="s">
        <v>190</v>
      </c>
      <c r="B269" s="66" t="s">
        <v>430</v>
      </c>
      <c r="C269" s="67"/>
      <c r="D269" s="68"/>
      <c r="E269" s="69"/>
      <c r="F269" s="70"/>
      <c r="G269" s="67"/>
      <c r="H269" s="71"/>
      <c r="I269" s="72"/>
      <c r="J269" s="72"/>
      <c r="K269" s="36"/>
      <c r="L269" s="79">
        <v>269</v>
      </c>
      <c r="M269" s="79"/>
      <c r="N269" s="74"/>
      <c r="O269" s="81" t="s">
        <v>1235</v>
      </c>
    </row>
    <row r="270" spans="1:15" ht="15">
      <c r="A270" s="66" t="s">
        <v>190</v>
      </c>
      <c r="B270" s="66" t="s">
        <v>431</v>
      </c>
      <c r="C270" s="67"/>
      <c r="D270" s="68"/>
      <c r="E270" s="69"/>
      <c r="F270" s="70"/>
      <c r="G270" s="67"/>
      <c r="H270" s="71"/>
      <c r="I270" s="72"/>
      <c r="J270" s="72"/>
      <c r="K270" s="36"/>
      <c r="L270" s="79">
        <v>270</v>
      </c>
      <c r="M270" s="79"/>
      <c r="N270" s="74"/>
      <c r="O270" s="81" t="s">
        <v>1235</v>
      </c>
    </row>
    <row r="271" spans="1:15" ht="15">
      <c r="A271" s="66" t="s">
        <v>190</v>
      </c>
      <c r="B271" s="66" t="s">
        <v>432</v>
      </c>
      <c r="C271" s="67"/>
      <c r="D271" s="68"/>
      <c r="E271" s="69"/>
      <c r="F271" s="70"/>
      <c r="G271" s="67"/>
      <c r="H271" s="71"/>
      <c r="I271" s="72"/>
      <c r="J271" s="72"/>
      <c r="K271" s="36"/>
      <c r="L271" s="79">
        <v>271</v>
      </c>
      <c r="M271" s="79"/>
      <c r="N271" s="74"/>
      <c r="O271" s="81" t="s">
        <v>1235</v>
      </c>
    </row>
    <row r="272" spans="1:15" ht="15">
      <c r="A272" s="66" t="s">
        <v>190</v>
      </c>
      <c r="B272" s="66" t="s">
        <v>433</v>
      </c>
      <c r="C272" s="67"/>
      <c r="D272" s="68"/>
      <c r="E272" s="69"/>
      <c r="F272" s="70"/>
      <c r="G272" s="67"/>
      <c r="H272" s="71"/>
      <c r="I272" s="72"/>
      <c r="J272" s="72"/>
      <c r="K272" s="36"/>
      <c r="L272" s="79">
        <v>272</v>
      </c>
      <c r="M272" s="79"/>
      <c r="N272" s="74"/>
      <c r="O272" s="81" t="s">
        <v>1235</v>
      </c>
    </row>
    <row r="273" spans="1:15" ht="15">
      <c r="A273" s="66" t="s">
        <v>190</v>
      </c>
      <c r="B273" s="66" t="s">
        <v>434</v>
      </c>
      <c r="C273" s="67"/>
      <c r="D273" s="68"/>
      <c r="E273" s="69"/>
      <c r="F273" s="70"/>
      <c r="G273" s="67"/>
      <c r="H273" s="71"/>
      <c r="I273" s="72"/>
      <c r="J273" s="72"/>
      <c r="K273" s="36"/>
      <c r="L273" s="79">
        <v>273</v>
      </c>
      <c r="M273" s="79"/>
      <c r="N273" s="74"/>
      <c r="O273" s="81" t="s">
        <v>1235</v>
      </c>
    </row>
    <row r="274" spans="1:15" ht="15">
      <c r="A274" s="66" t="s">
        <v>190</v>
      </c>
      <c r="B274" s="66" t="s">
        <v>435</v>
      </c>
      <c r="C274" s="67"/>
      <c r="D274" s="68"/>
      <c r="E274" s="69"/>
      <c r="F274" s="70"/>
      <c r="G274" s="67"/>
      <c r="H274" s="71"/>
      <c r="I274" s="72"/>
      <c r="J274" s="72"/>
      <c r="K274" s="36"/>
      <c r="L274" s="79">
        <v>274</v>
      </c>
      <c r="M274" s="79"/>
      <c r="N274" s="74"/>
      <c r="O274" s="81" t="s">
        <v>1235</v>
      </c>
    </row>
    <row r="275" spans="1:15" ht="15">
      <c r="A275" s="66" t="s">
        <v>191</v>
      </c>
      <c r="B275" s="66" t="s">
        <v>436</v>
      </c>
      <c r="C275" s="67"/>
      <c r="D275" s="68"/>
      <c r="E275" s="69"/>
      <c r="F275" s="70"/>
      <c r="G275" s="67"/>
      <c r="H275" s="71"/>
      <c r="I275" s="72"/>
      <c r="J275" s="72"/>
      <c r="K275" s="36"/>
      <c r="L275" s="79">
        <v>275</v>
      </c>
      <c r="M275" s="79"/>
      <c r="N275" s="74"/>
      <c r="O275" s="81" t="s">
        <v>1235</v>
      </c>
    </row>
    <row r="276" spans="1:15" ht="15">
      <c r="A276" s="66" t="s">
        <v>191</v>
      </c>
      <c r="B276" s="66" t="s">
        <v>437</v>
      </c>
      <c r="C276" s="67"/>
      <c r="D276" s="68"/>
      <c r="E276" s="69"/>
      <c r="F276" s="70"/>
      <c r="G276" s="67"/>
      <c r="H276" s="71"/>
      <c r="I276" s="72"/>
      <c r="J276" s="72"/>
      <c r="K276" s="36"/>
      <c r="L276" s="79">
        <v>276</v>
      </c>
      <c r="M276" s="79"/>
      <c r="N276" s="74"/>
      <c r="O276" s="81" t="s">
        <v>1235</v>
      </c>
    </row>
    <row r="277" spans="1:15" ht="15">
      <c r="A277" s="66" t="s">
        <v>191</v>
      </c>
      <c r="B277" s="66" t="s">
        <v>438</v>
      </c>
      <c r="C277" s="67"/>
      <c r="D277" s="68"/>
      <c r="E277" s="69"/>
      <c r="F277" s="70"/>
      <c r="G277" s="67"/>
      <c r="H277" s="71"/>
      <c r="I277" s="72"/>
      <c r="J277" s="72"/>
      <c r="K277" s="36"/>
      <c r="L277" s="79">
        <v>277</v>
      </c>
      <c r="M277" s="79"/>
      <c r="N277" s="74"/>
      <c r="O277" s="81" t="s">
        <v>1235</v>
      </c>
    </row>
    <row r="278" spans="1:15" ht="15">
      <c r="A278" s="66" t="s">
        <v>191</v>
      </c>
      <c r="B278" s="66" t="s">
        <v>439</v>
      </c>
      <c r="C278" s="67"/>
      <c r="D278" s="68"/>
      <c r="E278" s="69"/>
      <c r="F278" s="70"/>
      <c r="G278" s="67"/>
      <c r="H278" s="71"/>
      <c r="I278" s="72"/>
      <c r="J278" s="72"/>
      <c r="K278" s="36"/>
      <c r="L278" s="79">
        <v>278</v>
      </c>
      <c r="M278" s="79"/>
      <c r="N278" s="74"/>
      <c r="O278" s="81" t="s">
        <v>1235</v>
      </c>
    </row>
    <row r="279" spans="1:15" ht="15">
      <c r="A279" s="66" t="s">
        <v>191</v>
      </c>
      <c r="B279" s="66" t="s">
        <v>272</v>
      </c>
      <c r="C279" s="67"/>
      <c r="D279" s="68"/>
      <c r="E279" s="69"/>
      <c r="F279" s="70"/>
      <c r="G279" s="67"/>
      <c r="H279" s="71"/>
      <c r="I279" s="72"/>
      <c r="J279" s="72"/>
      <c r="K279" s="36"/>
      <c r="L279" s="79">
        <v>279</v>
      </c>
      <c r="M279" s="79"/>
      <c r="N279" s="74"/>
      <c r="O279" s="81" t="s">
        <v>1235</v>
      </c>
    </row>
    <row r="280" spans="1:15" ht="15">
      <c r="A280" s="66" t="s">
        <v>191</v>
      </c>
      <c r="B280" s="66" t="s">
        <v>228</v>
      </c>
      <c r="C280" s="67"/>
      <c r="D280" s="68"/>
      <c r="E280" s="69"/>
      <c r="F280" s="70"/>
      <c r="G280" s="67"/>
      <c r="H280" s="71"/>
      <c r="I280" s="72"/>
      <c r="J280" s="72"/>
      <c r="K280" s="36"/>
      <c r="L280" s="79">
        <v>280</v>
      </c>
      <c r="M280" s="79"/>
      <c r="N280" s="74"/>
      <c r="O280" s="81" t="s">
        <v>1235</v>
      </c>
    </row>
    <row r="281" spans="1:15" ht="15">
      <c r="A281" s="66" t="s">
        <v>191</v>
      </c>
      <c r="B281" s="66" t="s">
        <v>229</v>
      </c>
      <c r="C281" s="67"/>
      <c r="D281" s="68"/>
      <c r="E281" s="69"/>
      <c r="F281" s="70"/>
      <c r="G281" s="67"/>
      <c r="H281" s="71"/>
      <c r="I281" s="72"/>
      <c r="J281" s="72"/>
      <c r="K281" s="36"/>
      <c r="L281" s="79">
        <v>281</v>
      </c>
      <c r="M281" s="79"/>
      <c r="N281" s="74"/>
      <c r="O281" s="81" t="s">
        <v>1235</v>
      </c>
    </row>
    <row r="282" spans="1:15" ht="15">
      <c r="A282" s="66" t="s">
        <v>191</v>
      </c>
      <c r="B282" s="66" t="s">
        <v>230</v>
      </c>
      <c r="C282" s="67"/>
      <c r="D282" s="68"/>
      <c r="E282" s="69"/>
      <c r="F282" s="70"/>
      <c r="G282" s="67"/>
      <c r="H282" s="71"/>
      <c r="I282" s="72"/>
      <c r="J282" s="72"/>
      <c r="K282" s="36"/>
      <c r="L282" s="79">
        <v>282</v>
      </c>
      <c r="M282" s="79"/>
      <c r="N282" s="74"/>
      <c r="O282" s="81" t="s">
        <v>1235</v>
      </c>
    </row>
    <row r="283" spans="1:15" ht="15">
      <c r="A283" s="66" t="s">
        <v>191</v>
      </c>
      <c r="B283" s="66" t="s">
        <v>231</v>
      </c>
      <c r="C283" s="67"/>
      <c r="D283" s="68"/>
      <c r="E283" s="69"/>
      <c r="F283" s="70"/>
      <c r="G283" s="67"/>
      <c r="H283" s="71"/>
      <c r="I283" s="72"/>
      <c r="J283" s="72"/>
      <c r="K283" s="36"/>
      <c r="L283" s="79">
        <v>283</v>
      </c>
      <c r="M283" s="79"/>
      <c r="N283" s="74"/>
      <c r="O283" s="81" t="s">
        <v>1235</v>
      </c>
    </row>
    <row r="284" spans="1:15" ht="15">
      <c r="A284" s="66" t="s">
        <v>191</v>
      </c>
      <c r="B284" s="66" t="s">
        <v>232</v>
      </c>
      <c r="C284" s="67"/>
      <c r="D284" s="68"/>
      <c r="E284" s="69"/>
      <c r="F284" s="70"/>
      <c r="G284" s="67"/>
      <c r="H284" s="71"/>
      <c r="I284" s="72"/>
      <c r="J284" s="72"/>
      <c r="K284" s="36"/>
      <c r="L284" s="79">
        <v>284</v>
      </c>
      <c r="M284" s="79"/>
      <c r="N284" s="74"/>
      <c r="O284" s="81" t="s">
        <v>1235</v>
      </c>
    </row>
    <row r="285" spans="1:15" ht="15">
      <c r="A285" s="66" t="s">
        <v>191</v>
      </c>
      <c r="B285" s="66" t="s">
        <v>238</v>
      </c>
      <c r="C285" s="67"/>
      <c r="D285" s="68"/>
      <c r="E285" s="69"/>
      <c r="F285" s="70"/>
      <c r="G285" s="67"/>
      <c r="H285" s="71"/>
      <c r="I285" s="72"/>
      <c r="J285" s="72"/>
      <c r="K285" s="36"/>
      <c r="L285" s="79">
        <v>285</v>
      </c>
      <c r="M285" s="79"/>
      <c r="N285" s="74"/>
      <c r="O285" s="81" t="s">
        <v>1235</v>
      </c>
    </row>
    <row r="286" spans="1:15" ht="15">
      <c r="A286" s="66" t="s">
        <v>191</v>
      </c>
      <c r="B286" s="66" t="s">
        <v>233</v>
      </c>
      <c r="C286" s="67"/>
      <c r="D286" s="68"/>
      <c r="E286" s="69"/>
      <c r="F286" s="70"/>
      <c r="G286" s="67"/>
      <c r="H286" s="71"/>
      <c r="I286" s="72"/>
      <c r="J286" s="72"/>
      <c r="K286" s="36"/>
      <c r="L286" s="79">
        <v>286</v>
      </c>
      <c r="M286" s="79"/>
      <c r="N286" s="74"/>
      <c r="O286" s="81" t="s">
        <v>1235</v>
      </c>
    </row>
    <row r="287" spans="1:15" ht="15">
      <c r="A287" s="66" t="s">
        <v>191</v>
      </c>
      <c r="B287" s="66" t="s">
        <v>237</v>
      </c>
      <c r="C287" s="67"/>
      <c r="D287" s="68"/>
      <c r="E287" s="69"/>
      <c r="F287" s="70"/>
      <c r="G287" s="67"/>
      <c r="H287" s="71"/>
      <c r="I287" s="72"/>
      <c r="J287" s="72"/>
      <c r="K287" s="36"/>
      <c r="L287" s="79">
        <v>287</v>
      </c>
      <c r="M287" s="79"/>
      <c r="N287" s="74"/>
      <c r="O287" s="81" t="s">
        <v>1235</v>
      </c>
    </row>
    <row r="288" spans="1:15" ht="15">
      <c r="A288" s="66" t="s">
        <v>191</v>
      </c>
      <c r="B288" s="66" t="s">
        <v>234</v>
      </c>
      <c r="C288" s="67"/>
      <c r="D288" s="68"/>
      <c r="E288" s="69"/>
      <c r="F288" s="70"/>
      <c r="G288" s="67"/>
      <c r="H288" s="71"/>
      <c r="I288" s="72"/>
      <c r="J288" s="72"/>
      <c r="K288" s="36"/>
      <c r="L288" s="79">
        <v>288</v>
      </c>
      <c r="M288" s="79"/>
      <c r="N288" s="74"/>
      <c r="O288" s="81" t="s">
        <v>1235</v>
      </c>
    </row>
    <row r="289" spans="1:15" ht="15">
      <c r="A289" s="66" t="s">
        <v>191</v>
      </c>
      <c r="B289" s="66" t="s">
        <v>235</v>
      </c>
      <c r="C289" s="67"/>
      <c r="D289" s="68"/>
      <c r="E289" s="69"/>
      <c r="F289" s="70"/>
      <c r="G289" s="67"/>
      <c r="H289" s="71"/>
      <c r="I289" s="72"/>
      <c r="J289" s="72"/>
      <c r="K289" s="36"/>
      <c r="L289" s="79">
        <v>289</v>
      </c>
      <c r="M289" s="79"/>
      <c r="N289" s="74"/>
      <c r="O289" s="81" t="s">
        <v>1235</v>
      </c>
    </row>
    <row r="290" spans="1:15" ht="15">
      <c r="A290" s="66" t="s">
        <v>191</v>
      </c>
      <c r="B290" s="66" t="s">
        <v>236</v>
      </c>
      <c r="C290" s="67"/>
      <c r="D290" s="68"/>
      <c r="E290" s="69"/>
      <c r="F290" s="70"/>
      <c r="G290" s="67"/>
      <c r="H290" s="71"/>
      <c r="I290" s="72"/>
      <c r="J290" s="72"/>
      <c r="K290" s="36"/>
      <c r="L290" s="79">
        <v>290</v>
      </c>
      <c r="M290" s="79"/>
      <c r="N290" s="74"/>
      <c r="O290" s="81" t="s">
        <v>1235</v>
      </c>
    </row>
    <row r="291" spans="1:15" ht="15">
      <c r="A291" s="66" t="s">
        <v>192</v>
      </c>
      <c r="B291" s="66" t="s">
        <v>440</v>
      </c>
      <c r="C291" s="67"/>
      <c r="D291" s="68"/>
      <c r="E291" s="69"/>
      <c r="F291" s="70"/>
      <c r="G291" s="67"/>
      <c r="H291" s="71"/>
      <c r="I291" s="72"/>
      <c r="J291" s="72"/>
      <c r="K291" s="36"/>
      <c r="L291" s="79">
        <v>291</v>
      </c>
      <c r="M291" s="79"/>
      <c r="N291" s="74"/>
      <c r="O291" s="81" t="s">
        <v>1235</v>
      </c>
    </row>
    <row r="292" spans="1:15" ht="15">
      <c r="A292" s="66" t="s">
        <v>188</v>
      </c>
      <c r="B292" s="66" t="s">
        <v>441</v>
      </c>
      <c r="C292" s="67"/>
      <c r="D292" s="68"/>
      <c r="E292" s="69"/>
      <c r="F292" s="70"/>
      <c r="G292" s="67"/>
      <c r="H292" s="71"/>
      <c r="I292" s="72"/>
      <c r="J292" s="72"/>
      <c r="K292" s="36"/>
      <c r="L292" s="79">
        <v>292</v>
      </c>
      <c r="M292" s="79"/>
      <c r="N292" s="74"/>
      <c r="O292" s="81" t="s">
        <v>1235</v>
      </c>
    </row>
    <row r="293" spans="1:15" ht="15">
      <c r="A293" s="66" t="s">
        <v>190</v>
      </c>
      <c r="B293" s="66" t="s">
        <v>441</v>
      </c>
      <c r="C293" s="67"/>
      <c r="D293" s="68"/>
      <c r="E293" s="69"/>
      <c r="F293" s="70"/>
      <c r="G293" s="67"/>
      <c r="H293" s="71"/>
      <c r="I293" s="72"/>
      <c r="J293" s="72"/>
      <c r="K293" s="36"/>
      <c r="L293" s="79">
        <v>293</v>
      </c>
      <c r="M293" s="79"/>
      <c r="N293" s="74"/>
      <c r="O293" s="81" t="s">
        <v>1235</v>
      </c>
    </row>
    <row r="294" spans="1:15" ht="15">
      <c r="A294" s="66" t="s">
        <v>192</v>
      </c>
      <c r="B294" s="66" t="s">
        <v>441</v>
      </c>
      <c r="C294" s="67"/>
      <c r="D294" s="68"/>
      <c r="E294" s="69"/>
      <c r="F294" s="70"/>
      <c r="G294" s="67"/>
      <c r="H294" s="71"/>
      <c r="I294" s="72"/>
      <c r="J294" s="72"/>
      <c r="K294" s="36"/>
      <c r="L294" s="79">
        <v>294</v>
      </c>
      <c r="M294" s="79"/>
      <c r="N294" s="74"/>
      <c r="O294" s="81" t="s">
        <v>1235</v>
      </c>
    </row>
    <row r="295" spans="1:15" ht="15">
      <c r="A295" s="66" t="s">
        <v>192</v>
      </c>
      <c r="B295" s="66" t="s">
        <v>442</v>
      </c>
      <c r="C295" s="67"/>
      <c r="D295" s="68"/>
      <c r="E295" s="69"/>
      <c r="F295" s="70"/>
      <c r="G295" s="67"/>
      <c r="H295" s="71"/>
      <c r="I295" s="72"/>
      <c r="J295" s="72"/>
      <c r="K295" s="36"/>
      <c r="L295" s="79">
        <v>295</v>
      </c>
      <c r="M295" s="79"/>
      <c r="N295" s="74"/>
      <c r="O295" s="81" t="s">
        <v>1235</v>
      </c>
    </row>
    <row r="296" spans="1:15" ht="15">
      <c r="A296" s="66" t="s">
        <v>192</v>
      </c>
      <c r="B296" s="66" t="s">
        <v>443</v>
      </c>
      <c r="C296" s="67"/>
      <c r="D296" s="68"/>
      <c r="E296" s="69"/>
      <c r="F296" s="70"/>
      <c r="G296" s="67"/>
      <c r="H296" s="71"/>
      <c r="I296" s="72"/>
      <c r="J296" s="72"/>
      <c r="K296" s="36"/>
      <c r="L296" s="79">
        <v>296</v>
      </c>
      <c r="M296" s="79"/>
      <c r="N296" s="74"/>
      <c r="O296" s="81" t="s">
        <v>1235</v>
      </c>
    </row>
    <row r="297" spans="1:15" ht="15">
      <c r="A297" s="66" t="s">
        <v>192</v>
      </c>
      <c r="B297" s="66" t="s">
        <v>444</v>
      </c>
      <c r="C297" s="67"/>
      <c r="D297" s="68"/>
      <c r="E297" s="69"/>
      <c r="F297" s="70"/>
      <c r="G297" s="67"/>
      <c r="H297" s="71"/>
      <c r="I297" s="72"/>
      <c r="J297" s="72"/>
      <c r="K297" s="36"/>
      <c r="L297" s="79">
        <v>297</v>
      </c>
      <c r="M297" s="79"/>
      <c r="N297" s="74"/>
      <c r="O297" s="81" t="s">
        <v>1235</v>
      </c>
    </row>
    <row r="298" spans="1:15" ht="15">
      <c r="A298" s="66" t="s">
        <v>192</v>
      </c>
      <c r="B298" s="66" t="s">
        <v>445</v>
      </c>
      <c r="C298" s="67"/>
      <c r="D298" s="68"/>
      <c r="E298" s="69"/>
      <c r="F298" s="70"/>
      <c r="G298" s="67"/>
      <c r="H298" s="71"/>
      <c r="I298" s="72"/>
      <c r="J298" s="72"/>
      <c r="K298" s="36"/>
      <c r="L298" s="79">
        <v>298</v>
      </c>
      <c r="M298" s="79"/>
      <c r="N298" s="74"/>
      <c r="O298" s="81" t="s">
        <v>1235</v>
      </c>
    </row>
    <row r="299" spans="1:15" ht="15">
      <c r="A299" s="66" t="s">
        <v>192</v>
      </c>
      <c r="B299" s="66" t="s">
        <v>290</v>
      </c>
      <c r="C299" s="67"/>
      <c r="D299" s="68"/>
      <c r="E299" s="69"/>
      <c r="F299" s="70"/>
      <c r="G299" s="67"/>
      <c r="H299" s="71"/>
      <c r="I299" s="72"/>
      <c r="J299" s="72"/>
      <c r="K299" s="36"/>
      <c r="L299" s="79">
        <v>299</v>
      </c>
      <c r="M299" s="79"/>
      <c r="N299" s="74"/>
      <c r="O299" s="81" t="s">
        <v>1235</v>
      </c>
    </row>
    <row r="300" spans="1:15" ht="15">
      <c r="A300" s="66" t="s">
        <v>192</v>
      </c>
      <c r="B300" s="66" t="s">
        <v>446</v>
      </c>
      <c r="C300" s="67"/>
      <c r="D300" s="68"/>
      <c r="E300" s="69"/>
      <c r="F300" s="70"/>
      <c r="G300" s="67"/>
      <c r="H300" s="71"/>
      <c r="I300" s="72"/>
      <c r="J300" s="72"/>
      <c r="K300" s="36"/>
      <c r="L300" s="79">
        <v>300</v>
      </c>
      <c r="M300" s="79"/>
      <c r="N300" s="74"/>
      <c r="O300" s="81" t="s">
        <v>1235</v>
      </c>
    </row>
    <row r="301" spans="1:15" ht="15">
      <c r="A301" s="66" t="s">
        <v>192</v>
      </c>
      <c r="B301" s="66" t="s">
        <v>447</v>
      </c>
      <c r="C301" s="67"/>
      <c r="D301" s="68"/>
      <c r="E301" s="69"/>
      <c r="F301" s="70"/>
      <c r="G301" s="67"/>
      <c r="H301" s="71"/>
      <c r="I301" s="72"/>
      <c r="J301" s="72"/>
      <c r="K301" s="36"/>
      <c r="L301" s="79">
        <v>301</v>
      </c>
      <c r="M301" s="79"/>
      <c r="N301" s="74"/>
      <c r="O301" s="81" t="s">
        <v>1235</v>
      </c>
    </row>
    <row r="302" spans="1:15" ht="15">
      <c r="A302" s="66" t="s">
        <v>192</v>
      </c>
      <c r="B302" s="66" t="s">
        <v>448</v>
      </c>
      <c r="C302" s="67"/>
      <c r="D302" s="68"/>
      <c r="E302" s="69"/>
      <c r="F302" s="70"/>
      <c r="G302" s="67"/>
      <c r="H302" s="71"/>
      <c r="I302" s="72"/>
      <c r="J302" s="72"/>
      <c r="K302" s="36"/>
      <c r="L302" s="79">
        <v>302</v>
      </c>
      <c r="M302" s="79"/>
      <c r="N302" s="74"/>
      <c r="O302" s="81" t="s">
        <v>1235</v>
      </c>
    </row>
    <row r="303" spans="1:15" ht="15">
      <c r="A303" s="66" t="s">
        <v>192</v>
      </c>
      <c r="B303" s="66" t="s">
        <v>449</v>
      </c>
      <c r="C303" s="67"/>
      <c r="D303" s="68"/>
      <c r="E303" s="69"/>
      <c r="F303" s="70"/>
      <c r="G303" s="67"/>
      <c r="H303" s="71"/>
      <c r="I303" s="72"/>
      <c r="J303" s="72"/>
      <c r="K303" s="36"/>
      <c r="L303" s="79">
        <v>303</v>
      </c>
      <c r="M303" s="79"/>
      <c r="N303" s="74"/>
      <c r="O303" s="81" t="s">
        <v>1235</v>
      </c>
    </row>
    <row r="304" spans="1:15" ht="15">
      <c r="A304" s="66" t="s">
        <v>192</v>
      </c>
      <c r="B304" s="66" t="s">
        <v>450</v>
      </c>
      <c r="C304" s="67"/>
      <c r="D304" s="68"/>
      <c r="E304" s="69"/>
      <c r="F304" s="70"/>
      <c r="G304" s="67"/>
      <c r="H304" s="71"/>
      <c r="I304" s="72"/>
      <c r="J304" s="72"/>
      <c r="K304" s="36"/>
      <c r="L304" s="79">
        <v>304</v>
      </c>
      <c r="M304" s="79"/>
      <c r="N304" s="74"/>
      <c r="O304" s="81" t="s">
        <v>1235</v>
      </c>
    </row>
    <row r="305" spans="1:15" ht="15">
      <c r="A305" s="66" t="s">
        <v>192</v>
      </c>
      <c r="B305" s="66" t="s">
        <v>347</v>
      </c>
      <c r="C305" s="67"/>
      <c r="D305" s="68"/>
      <c r="E305" s="69"/>
      <c r="F305" s="70"/>
      <c r="G305" s="67"/>
      <c r="H305" s="71"/>
      <c r="I305" s="72"/>
      <c r="J305" s="72"/>
      <c r="K305" s="36"/>
      <c r="L305" s="79">
        <v>305</v>
      </c>
      <c r="M305" s="79"/>
      <c r="N305" s="74"/>
      <c r="O305" s="81" t="s">
        <v>1235</v>
      </c>
    </row>
    <row r="306" spans="1:15" ht="15">
      <c r="A306" s="66" t="s">
        <v>192</v>
      </c>
      <c r="B306" s="66" t="s">
        <v>451</v>
      </c>
      <c r="C306" s="67"/>
      <c r="D306" s="68"/>
      <c r="E306" s="69"/>
      <c r="F306" s="70"/>
      <c r="G306" s="67"/>
      <c r="H306" s="71"/>
      <c r="I306" s="72"/>
      <c r="J306" s="72"/>
      <c r="K306" s="36"/>
      <c r="L306" s="79">
        <v>306</v>
      </c>
      <c r="M306" s="79"/>
      <c r="N306" s="74"/>
      <c r="O306" s="81" t="s">
        <v>1235</v>
      </c>
    </row>
    <row r="307" spans="1:15" ht="15">
      <c r="A307" s="66" t="s">
        <v>192</v>
      </c>
      <c r="B307" s="66" t="s">
        <v>452</v>
      </c>
      <c r="C307" s="67"/>
      <c r="D307" s="68"/>
      <c r="E307" s="69"/>
      <c r="F307" s="70"/>
      <c r="G307" s="67"/>
      <c r="H307" s="71"/>
      <c r="I307" s="72"/>
      <c r="J307" s="72"/>
      <c r="K307" s="36"/>
      <c r="L307" s="79">
        <v>307</v>
      </c>
      <c r="M307" s="79"/>
      <c r="N307" s="74"/>
      <c r="O307" s="81" t="s">
        <v>1235</v>
      </c>
    </row>
    <row r="308" spans="1:15" ht="15">
      <c r="A308" s="66" t="s">
        <v>192</v>
      </c>
      <c r="B308" s="66" t="s">
        <v>453</v>
      </c>
      <c r="C308" s="67"/>
      <c r="D308" s="68"/>
      <c r="E308" s="69"/>
      <c r="F308" s="70"/>
      <c r="G308" s="67"/>
      <c r="H308" s="71"/>
      <c r="I308" s="72"/>
      <c r="J308" s="72"/>
      <c r="K308" s="36"/>
      <c r="L308" s="79">
        <v>308</v>
      </c>
      <c r="M308" s="79"/>
      <c r="N308" s="74"/>
      <c r="O308" s="81" t="s">
        <v>1235</v>
      </c>
    </row>
    <row r="309" spans="1:15" ht="15">
      <c r="A309" s="66" t="s">
        <v>192</v>
      </c>
      <c r="B309" s="66" t="s">
        <v>454</v>
      </c>
      <c r="C309" s="67"/>
      <c r="D309" s="68"/>
      <c r="E309" s="69"/>
      <c r="F309" s="70"/>
      <c r="G309" s="67"/>
      <c r="H309" s="71"/>
      <c r="I309" s="72"/>
      <c r="J309" s="72"/>
      <c r="K309" s="36"/>
      <c r="L309" s="79">
        <v>309</v>
      </c>
      <c r="M309" s="79"/>
      <c r="N309" s="74"/>
      <c r="O309" s="81" t="s">
        <v>1235</v>
      </c>
    </row>
    <row r="310" spans="1:15" ht="15">
      <c r="A310" s="66" t="s">
        <v>192</v>
      </c>
      <c r="B310" s="66" t="s">
        <v>455</v>
      </c>
      <c r="C310" s="67"/>
      <c r="D310" s="68"/>
      <c r="E310" s="69"/>
      <c r="F310" s="70"/>
      <c r="G310" s="67"/>
      <c r="H310" s="71"/>
      <c r="I310" s="72"/>
      <c r="J310" s="72"/>
      <c r="K310" s="36"/>
      <c r="L310" s="79">
        <v>310</v>
      </c>
      <c r="M310" s="79"/>
      <c r="N310" s="74"/>
      <c r="O310" s="81" t="s">
        <v>1235</v>
      </c>
    </row>
    <row r="311" spans="1:15" ht="15">
      <c r="A311" s="66" t="s">
        <v>192</v>
      </c>
      <c r="B311" s="66" t="s">
        <v>456</v>
      </c>
      <c r="C311" s="67"/>
      <c r="D311" s="68"/>
      <c r="E311" s="69"/>
      <c r="F311" s="70"/>
      <c r="G311" s="67"/>
      <c r="H311" s="71"/>
      <c r="I311" s="72"/>
      <c r="J311" s="72"/>
      <c r="K311" s="36"/>
      <c r="L311" s="79">
        <v>311</v>
      </c>
      <c r="M311" s="79"/>
      <c r="N311" s="74"/>
      <c r="O311" s="81" t="s">
        <v>1235</v>
      </c>
    </row>
    <row r="312" spans="1:15" ht="15">
      <c r="A312" s="66" t="s">
        <v>192</v>
      </c>
      <c r="B312" s="66" t="s">
        <v>457</v>
      </c>
      <c r="C312" s="67"/>
      <c r="D312" s="68"/>
      <c r="E312" s="69"/>
      <c r="F312" s="70"/>
      <c r="G312" s="67"/>
      <c r="H312" s="71"/>
      <c r="I312" s="72"/>
      <c r="J312" s="72"/>
      <c r="K312" s="36"/>
      <c r="L312" s="79">
        <v>312</v>
      </c>
      <c r="M312" s="79"/>
      <c r="N312" s="74"/>
      <c r="O312" s="81" t="s">
        <v>1235</v>
      </c>
    </row>
    <row r="313" spans="1:15" ht="15">
      <c r="A313" s="66" t="s">
        <v>192</v>
      </c>
      <c r="B313" s="66" t="s">
        <v>458</v>
      </c>
      <c r="C313" s="67"/>
      <c r="D313" s="68"/>
      <c r="E313" s="69"/>
      <c r="F313" s="70"/>
      <c r="G313" s="67"/>
      <c r="H313" s="71"/>
      <c r="I313" s="72"/>
      <c r="J313" s="72"/>
      <c r="K313" s="36"/>
      <c r="L313" s="79">
        <v>313</v>
      </c>
      <c r="M313" s="79"/>
      <c r="N313" s="74"/>
      <c r="O313" s="81" t="s">
        <v>1235</v>
      </c>
    </row>
    <row r="314" spans="1:15" ht="15">
      <c r="A314" s="66" t="s">
        <v>192</v>
      </c>
      <c r="B314" s="66" t="s">
        <v>459</v>
      </c>
      <c r="C314" s="67"/>
      <c r="D314" s="68"/>
      <c r="E314" s="69"/>
      <c r="F314" s="70"/>
      <c r="G314" s="67"/>
      <c r="H314" s="71"/>
      <c r="I314" s="72"/>
      <c r="J314" s="72"/>
      <c r="K314" s="36"/>
      <c r="L314" s="79">
        <v>314</v>
      </c>
      <c r="M314" s="79"/>
      <c r="N314" s="74"/>
      <c r="O314" s="81" t="s">
        <v>1235</v>
      </c>
    </row>
    <row r="315" spans="1:15" ht="15">
      <c r="A315" s="66" t="s">
        <v>192</v>
      </c>
      <c r="B315" s="66" t="s">
        <v>460</v>
      </c>
      <c r="C315" s="67"/>
      <c r="D315" s="68"/>
      <c r="E315" s="69"/>
      <c r="F315" s="70"/>
      <c r="G315" s="67"/>
      <c r="H315" s="71"/>
      <c r="I315" s="72"/>
      <c r="J315" s="72"/>
      <c r="K315" s="36"/>
      <c r="L315" s="79">
        <v>315</v>
      </c>
      <c r="M315" s="79"/>
      <c r="N315" s="74"/>
      <c r="O315" s="81" t="s">
        <v>1235</v>
      </c>
    </row>
    <row r="316" spans="1:15" ht="15">
      <c r="A316" s="66" t="s">
        <v>192</v>
      </c>
      <c r="B316" s="66" t="s">
        <v>461</v>
      </c>
      <c r="C316" s="67"/>
      <c r="D316" s="68"/>
      <c r="E316" s="69"/>
      <c r="F316" s="70"/>
      <c r="G316" s="67"/>
      <c r="H316" s="71"/>
      <c r="I316" s="72"/>
      <c r="J316" s="72"/>
      <c r="K316" s="36"/>
      <c r="L316" s="79">
        <v>316</v>
      </c>
      <c r="M316" s="79"/>
      <c r="N316" s="74"/>
      <c r="O316" s="81" t="s">
        <v>1235</v>
      </c>
    </row>
    <row r="317" spans="1:15" ht="15">
      <c r="A317" s="66" t="s">
        <v>192</v>
      </c>
      <c r="B317" s="66" t="s">
        <v>462</v>
      </c>
      <c r="C317" s="67"/>
      <c r="D317" s="68"/>
      <c r="E317" s="69"/>
      <c r="F317" s="70"/>
      <c r="G317" s="67"/>
      <c r="H317" s="71"/>
      <c r="I317" s="72"/>
      <c r="J317" s="72"/>
      <c r="K317" s="36"/>
      <c r="L317" s="79">
        <v>317</v>
      </c>
      <c r="M317" s="79"/>
      <c r="N317" s="74"/>
      <c r="O317" s="81" t="s">
        <v>1235</v>
      </c>
    </row>
    <row r="318" spans="1:15" ht="15">
      <c r="A318" s="66" t="s">
        <v>192</v>
      </c>
      <c r="B318" s="66" t="s">
        <v>463</v>
      </c>
      <c r="C318" s="67"/>
      <c r="D318" s="68"/>
      <c r="E318" s="69"/>
      <c r="F318" s="70"/>
      <c r="G318" s="67"/>
      <c r="H318" s="71"/>
      <c r="I318" s="72"/>
      <c r="J318" s="72"/>
      <c r="K318" s="36"/>
      <c r="L318" s="79">
        <v>318</v>
      </c>
      <c r="M318" s="79"/>
      <c r="N318" s="74"/>
      <c r="O318" s="81" t="s">
        <v>1235</v>
      </c>
    </row>
    <row r="319" spans="1:15" ht="15">
      <c r="A319" s="66" t="s">
        <v>192</v>
      </c>
      <c r="B319" s="66" t="s">
        <v>464</v>
      </c>
      <c r="C319" s="67"/>
      <c r="D319" s="68"/>
      <c r="E319" s="69"/>
      <c r="F319" s="70"/>
      <c r="G319" s="67"/>
      <c r="H319" s="71"/>
      <c r="I319" s="72"/>
      <c r="J319" s="72"/>
      <c r="K319" s="36"/>
      <c r="L319" s="79">
        <v>319</v>
      </c>
      <c r="M319" s="79"/>
      <c r="N319" s="74"/>
      <c r="O319" s="81" t="s">
        <v>1235</v>
      </c>
    </row>
    <row r="320" spans="1:15" ht="15">
      <c r="A320" s="66" t="s">
        <v>192</v>
      </c>
      <c r="B320" s="66" t="s">
        <v>465</v>
      </c>
      <c r="C320" s="67"/>
      <c r="D320" s="68"/>
      <c r="E320" s="69"/>
      <c r="F320" s="70"/>
      <c r="G320" s="67"/>
      <c r="H320" s="71"/>
      <c r="I320" s="72"/>
      <c r="J320" s="72"/>
      <c r="K320" s="36"/>
      <c r="L320" s="79">
        <v>320</v>
      </c>
      <c r="M320" s="79"/>
      <c r="N320" s="74"/>
      <c r="O320" s="81" t="s">
        <v>1235</v>
      </c>
    </row>
    <row r="321" spans="1:15" ht="15">
      <c r="A321" s="66" t="s">
        <v>192</v>
      </c>
      <c r="B321" s="66" t="s">
        <v>466</v>
      </c>
      <c r="C321" s="67"/>
      <c r="D321" s="68"/>
      <c r="E321" s="69"/>
      <c r="F321" s="70"/>
      <c r="G321" s="67"/>
      <c r="H321" s="71"/>
      <c r="I321" s="72"/>
      <c r="J321" s="72"/>
      <c r="K321" s="36"/>
      <c r="L321" s="79">
        <v>321</v>
      </c>
      <c r="M321" s="79"/>
      <c r="N321" s="74"/>
      <c r="O321" s="81" t="s">
        <v>1235</v>
      </c>
    </row>
    <row r="322" spans="1:15" ht="15">
      <c r="A322" s="66" t="s">
        <v>192</v>
      </c>
      <c r="B322" s="66" t="s">
        <v>226</v>
      </c>
      <c r="C322" s="67"/>
      <c r="D322" s="68"/>
      <c r="E322" s="69"/>
      <c r="F322" s="70"/>
      <c r="G322" s="67"/>
      <c r="H322" s="71"/>
      <c r="I322" s="72"/>
      <c r="J322" s="72"/>
      <c r="K322" s="36"/>
      <c r="L322" s="79">
        <v>322</v>
      </c>
      <c r="M322" s="79"/>
      <c r="N322" s="74"/>
      <c r="O322" s="81" t="s">
        <v>1235</v>
      </c>
    </row>
    <row r="323" spans="1:15" ht="15">
      <c r="A323" s="66" t="s">
        <v>192</v>
      </c>
      <c r="B323" s="66" t="s">
        <v>343</v>
      </c>
      <c r="C323" s="67"/>
      <c r="D323" s="68"/>
      <c r="E323" s="69"/>
      <c r="F323" s="70"/>
      <c r="G323" s="67"/>
      <c r="H323" s="71"/>
      <c r="I323" s="72"/>
      <c r="J323" s="72"/>
      <c r="K323" s="36"/>
      <c r="L323" s="79">
        <v>323</v>
      </c>
      <c r="M323" s="79"/>
      <c r="N323" s="74"/>
      <c r="O323" s="81" t="s">
        <v>1235</v>
      </c>
    </row>
    <row r="324" spans="1:15" ht="15">
      <c r="A324" s="66" t="s">
        <v>192</v>
      </c>
      <c r="B324" s="66" t="s">
        <v>467</v>
      </c>
      <c r="C324" s="67"/>
      <c r="D324" s="68"/>
      <c r="E324" s="69"/>
      <c r="F324" s="70"/>
      <c r="G324" s="67"/>
      <c r="H324" s="71"/>
      <c r="I324" s="72"/>
      <c r="J324" s="72"/>
      <c r="K324" s="36"/>
      <c r="L324" s="79">
        <v>324</v>
      </c>
      <c r="M324" s="79"/>
      <c r="N324" s="74"/>
      <c r="O324" s="81" t="s">
        <v>1235</v>
      </c>
    </row>
    <row r="325" spans="1:15" ht="15">
      <c r="A325" s="66" t="s">
        <v>192</v>
      </c>
      <c r="B325" s="66" t="s">
        <v>468</v>
      </c>
      <c r="C325" s="67"/>
      <c r="D325" s="68"/>
      <c r="E325" s="69"/>
      <c r="F325" s="70"/>
      <c r="G325" s="67"/>
      <c r="H325" s="71"/>
      <c r="I325" s="72"/>
      <c r="J325" s="72"/>
      <c r="K325" s="36"/>
      <c r="L325" s="79">
        <v>325</v>
      </c>
      <c r="M325" s="79"/>
      <c r="N325" s="74"/>
      <c r="O325" s="81" t="s">
        <v>1235</v>
      </c>
    </row>
    <row r="326" spans="1:15" ht="15">
      <c r="A326" s="66" t="s">
        <v>192</v>
      </c>
      <c r="B326" s="66" t="s">
        <v>469</v>
      </c>
      <c r="C326" s="67"/>
      <c r="D326" s="68"/>
      <c r="E326" s="69"/>
      <c r="F326" s="70"/>
      <c r="G326" s="67"/>
      <c r="H326" s="71"/>
      <c r="I326" s="72"/>
      <c r="J326" s="72"/>
      <c r="K326" s="36"/>
      <c r="L326" s="79">
        <v>326</v>
      </c>
      <c r="M326" s="79"/>
      <c r="N326" s="74"/>
      <c r="O326" s="81" t="s">
        <v>1235</v>
      </c>
    </row>
    <row r="327" spans="1:15" ht="15">
      <c r="A327" s="66" t="s">
        <v>192</v>
      </c>
      <c r="B327" s="66" t="s">
        <v>470</v>
      </c>
      <c r="C327" s="67"/>
      <c r="D327" s="68"/>
      <c r="E327" s="69"/>
      <c r="F327" s="70"/>
      <c r="G327" s="67"/>
      <c r="H327" s="71"/>
      <c r="I327" s="72"/>
      <c r="J327" s="72"/>
      <c r="K327" s="36"/>
      <c r="L327" s="79">
        <v>327</v>
      </c>
      <c r="M327" s="79"/>
      <c r="N327" s="74"/>
      <c r="O327" s="81" t="s">
        <v>1235</v>
      </c>
    </row>
    <row r="328" spans="1:15" ht="15">
      <c r="A328" s="66" t="s">
        <v>192</v>
      </c>
      <c r="B328" s="66" t="s">
        <v>471</v>
      </c>
      <c r="C328" s="67"/>
      <c r="D328" s="68"/>
      <c r="E328" s="69"/>
      <c r="F328" s="70"/>
      <c r="G328" s="67"/>
      <c r="H328" s="71"/>
      <c r="I328" s="72"/>
      <c r="J328" s="72"/>
      <c r="K328" s="36"/>
      <c r="L328" s="79">
        <v>328</v>
      </c>
      <c r="M328" s="79"/>
      <c r="N328" s="74"/>
      <c r="O328" s="81" t="s">
        <v>1235</v>
      </c>
    </row>
    <row r="329" spans="1:15" ht="15">
      <c r="A329" s="66" t="s">
        <v>192</v>
      </c>
      <c r="B329" s="66" t="s">
        <v>214</v>
      </c>
      <c r="C329" s="67"/>
      <c r="D329" s="68"/>
      <c r="E329" s="69"/>
      <c r="F329" s="70"/>
      <c r="G329" s="67"/>
      <c r="H329" s="71"/>
      <c r="I329" s="72"/>
      <c r="J329" s="72"/>
      <c r="K329" s="36"/>
      <c r="L329" s="79">
        <v>329</v>
      </c>
      <c r="M329" s="79"/>
      <c r="N329" s="74"/>
      <c r="O329" s="81" t="s">
        <v>1235</v>
      </c>
    </row>
    <row r="330" spans="1:15" ht="15">
      <c r="A330" s="66" t="s">
        <v>192</v>
      </c>
      <c r="B330" s="66" t="s">
        <v>472</v>
      </c>
      <c r="C330" s="67"/>
      <c r="D330" s="68"/>
      <c r="E330" s="69"/>
      <c r="F330" s="70"/>
      <c r="G330" s="67"/>
      <c r="H330" s="71"/>
      <c r="I330" s="72"/>
      <c r="J330" s="72"/>
      <c r="K330" s="36"/>
      <c r="L330" s="79">
        <v>330</v>
      </c>
      <c r="M330" s="79"/>
      <c r="N330" s="74"/>
      <c r="O330" s="81" t="s">
        <v>1235</v>
      </c>
    </row>
    <row r="331" spans="1:15" ht="15">
      <c r="A331" s="66" t="s">
        <v>192</v>
      </c>
      <c r="B331" s="66" t="s">
        <v>223</v>
      </c>
      <c r="C331" s="67"/>
      <c r="D331" s="68"/>
      <c r="E331" s="69"/>
      <c r="F331" s="70"/>
      <c r="G331" s="67"/>
      <c r="H331" s="71"/>
      <c r="I331" s="72"/>
      <c r="J331" s="72"/>
      <c r="K331" s="36"/>
      <c r="L331" s="79">
        <v>331</v>
      </c>
      <c r="M331" s="79"/>
      <c r="N331" s="74"/>
      <c r="O331" s="81" t="s">
        <v>1235</v>
      </c>
    </row>
    <row r="332" spans="1:15" ht="15">
      <c r="A332" s="66" t="s">
        <v>192</v>
      </c>
      <c r="B332" s="66" t="s">
        <v>473</v>
      </c>
      <c r="C332" s="67"/>
      <c r="D332" s="68"/>
      <c r="E332" s="69"/>
      <c r="F332" s="70"/>
      <c r="G332" s="67"/>
      <c r="H332" s="71"/>
      <c r="I332" s="72"/>
      <c r="J332" s="72"/>
      <c r="K332" s="36"/>
      <c r="L332" s="79">
        <v>332</v>
      </c>
      <c r="M332" s="79"/>
      <c r="N332" s="74"/>
      <c r="O332" s="81" t="s">
        <v>1235</v>
      </c>
    </row>
    <row r="333" spans="1:15" ht="15">
      <c r="A333" s="66" t="s">
        <v>192</v>
      </c>
      <c r="B333" s="66" t="s">
        <v>345</v>
      </c>
      <c r="C333" s="67"/>
      <c r="D333" s="68"/>
      <c r="E333" s="69"/>
      <c r="F333" s="70"/>
      <c r="G333" s="67"/>
      <c r="H333" s="71"/>
      <c r="I333" s="72"/>
      <c r="J333" s="72"/>
      <c r="K333" s="36"/>
      <c r="L333" s="79">
        <v>333</v>
      </c>
      <c r="M333" s="79"/>
      <c r="N333" s="74"/>
      <c r="O333" s="81" t="s">
        <v>1235</v>
      </c>
    </row>
    <row r="334" spans="1:15" ht="15">
      <c r="A334" s="66" t="s">
        <v>192</v>
      </c>
      <c r="B334" s="66" t="s">
        <v>295</v>
      </c>
      <c r="C334" s="67"/>
      <c r="D334" s="68"/>
      <c r="E334" s="69"/>
      <c r="F334" s="70"/>
      <c r="G334" s="67"/>
      <c r="H334" s="71"/>
      <c r="I334" s="72"/>
      <c r="J334" s="72"/>
      <c r="K334" s="36"/>
      <c r="L334" s="79">
        <v>334</v>
      </c>
      <c r="M334" s="79"/>
      <c r="N334" s="74"/>
      <c r="O334" s="81" t="s">
        <v>1235</v>
      </c>
    </row>
    <row r="335" spans="1:15" ht="15">
      <c r="A335" s="66" t="s">
        <v>192</v>
      </c>
      <c r="B335" s="66" t="s">
        <v>291</v>
      </c>
      <c r="C335" s="67"/>
      <c r="D335" s="68"/>
      <c r="E335" s="69"/>
      <c r="F335" s="70"/>
      <c r="G335" s="67"/>
      <c r="H335" s="71"/>
      <c r="I335" s="72"/>
      <c r="J335" s="72"/>
      <c r="K335" s="36"/>
      <c r="L335" s="79">
        <v>335</v>
      </c>
      <c r="M335" s="79"/>
      <c r="N335" s="74"/>
      <c r="O335" s="81" t="s">
        <v>1235</v>
      </c>
    </row>
    <row r="336" spans="1:15" ht="15">
      <c r="A336" s="66" t="s">
        <v>192</v>
      </c>
      <c r="B336" s="66" t="s">
        <v>350</v>
      </c>
      <c r="C336" s="67"/>
      <c r="D336" s="68"/>
      <c r="E336" s="69"/>
      <c r="F336" s="70"/>
      <c r="G336" s="67"/>
      <c r="H336" s="71"/>
      <c r="I336" s="72"/>
      <c r="J336" s="72"/>
      <c r="K336" s="36"/>
      <c r="L336" s="79">
        <v>336</v>
      </c>
      <c r="M336" s="79"/>
      <c r="N336" s="74"/>
      <c r="O336" s="81" t="s">
        <v>1235</v>
      </c>
    </row>
    <row r="337" spans="1:15" ht="15">
      <c r="A337" s="66" t="s">
        <v>192</v>
      </c>
      <c r="B337" s="66" t="s">
        <v>474</v>
      </c>
      <c r="C337" s="67"/>
      <c r="D337" s="68"/>
      <c r="E337" s="69"/>
      <c r="F337" s="70"/>
      <c r="G337" s="67"/>
      <c r="H337" s="71"/>
      <c r="I337" s="72"/>
      <c r="J337" s="72"/>
      <c r="K337" s="36"/>
      <c r="L337" s="79">
        <v>337</v>
      </c>
      <c r="M337" s="79"/>
      <c r="N337" s="74"/>
      <c r="O337" s="81" t="s">
        <v>1235</v>
      </c>
    </row>
    <row r="338" spans="1:15" ht="15">
      <c r="A338" s="66" t="s">
        <v>192</v>
      </c>
      <c r="B338" s="66" t="s">
        <v>475</v>
      </c>
      <c r="C338" s="67"/>
      <c r="D338" s="68"/>
      <c r="E338" s="69"/>
      <c r="F338" s="70"/>
      <c r="G338" s="67"/>
      <c r="H338" s="71"/>
      <c r="I338" s="72"/>
      <c r="J338" s="72"/>
      <c r="K338" s="36"/>
      <c r="L338" s="79">
        <v>338</v>
      </c>
      <c r="M338" s="79"/>
      <c r="N338" s="74"/>
      <c r="O338" s="81" t="s">
        <v>1235</v>
      </c>
    </row>
    <row r="339" spans="1:15" ht="15">
      <c r="A339" s="66" t="s">
        <v>192</v>
      </c>
      <c r="B339" s="66" t="s">
        <v>476</v>
      </c>
      <c r="C339" s="67"/>
      <c r="D339" s="68"/>
      <c r="E339" s="69"/>
      <c r="F339" s="70"/>
      <c r="G339" s="67"/>
      <c r="H339" s="71"/>
      <c r="I339" s="72"/>
      <c r="J339" s="72"/>
      <c r="K339" s="36"/>
      <c r="L339" s="79">
        <v>339</v>
      </c>
      <c r="M339" s="79"/>
      <c r="N339" s="74"/>
      <c r="O339" s="81" t="s">
        <v>1235</v>
      </c>
    </row>
    <row r="340" spans="1:15" ht="15">
      <c r="A340" s="66" t="s">
        <v>192</v>
      </c>
      <c r="B340" s="66" t="s">
        <v>477</v>
      </c>
      <c r="C340" s="67"/>
      <c r="D340" s="68"/>
      <c r="E340" s="69"/>
      <c r="F340" s="70"/>
      <c r="G340" s="67"/>
      <c r="H340" s="71"/>
      <c r="I340" s="72"/>
      <c r="J340" s="72"/>
      <c r="K340" s="36"/>
      <c r="L340" s="79">
        <v>340</v>
      </c>
      <c r="M340" s="79"/>
      <c r="N340" s="74"/>
      <c r="O340" s="81" t="s">
        <v>1235</v>
      </c>
    </row>
    <row r="341" spans="1:15" ht="15">
      <c r="A341" s="66" t="s">
        <v>192</v>
      </c>
      <c r="B341" s="66" t="s">
        <v>224</v>
      </c>
      <c r="C341" s="67"/>
      <c r="D341" s="68"/>
      <c r="E341" s="69"/>
      <c r="F341" s="70"/>
      <c r="G341" s="67"/>
      <c r="H341" s="71"/>
      <c r="I341" s="72"/>
      <c r="J341" s="72"/>
      <c r="K341" s="36"/>
      <c r="L341" s="79">
        <v>341</v>
      </c>
      <c r="M341" s="79"/>
      <c r="N341" s="74"/>
      <c r="O341" s="81" t="s">
        <v>1235</v>
      </c>
    </row>
    <row r="342" spans="1:15" ht="15">
      <c r="A342" s="66" t="s">
        <v>193</v>
      </c>
      <c r="B342" s="66" t="s">
        <v>478</v>
      </c>
      <c r="C342" s="67"/>
      <c r="D342" s="68"/>
      <c r="E342" s="69"/>
      <c r="F342" s="70"/>
      <c r="G342" s="67"/>
      <c r="H342" s="71"/>
      <c r="I342" s="72"/>
      <c r="J342" s="72"/>
      <c r="K342" s="36"/>
      <c r="L342" s="79">
        <v>342</v>
      </c>
      <c r="M342" s="79"/>
      <c r="N342" s="74"/>
      <c r="O342" s="81" t="s">
        <v>1235</v>
      </c>
    </row>
    <row r="343" spans="1:15" ht="15">
      <c r="A343" s="66" t="s">
        <v>193</v>
      </c>
      <c r="B343" s="66" t="s">
        <v>479</v>
      </c>
      <c r="C343" s="67"/>
      <c r="D343" s="68"/>
      <c r="E343" s="69"/>
      <c r="F343" s="70"/>
      <c r="G343" s="67"/>
      <c r="H343" s="71"/>
      <c r="I343" s="72"/>
      <c r="J343" s="72"/>
      <c r="K343" s="36"/>
      <c r="L343" s="79">
        <v>343</v>
      </c>
      <c r="M343" s="79"/>
      <c r="N343" s="74"/>
      <c r="O343" s="81" t="s">
        <v>1235</v>
      </c>
    </row>
    <row r="344" spans="1:15" ht="15">
      <c r="A344" s="66" t="s">
        <v>193</v>
      </c>
      <c r="B344" s="66" t="s">
        <v>480</v>
      </c>
      <c r="C344" s="67"/>
      <c r="D344" s="68"/>
      <c r="E344" s="69"/>
      <c r="F344" s="70"/>
      <c r="G344" s="67"/>
      <c r="H344" s="71"/>
      <c r="I344" s="72"/>
      <c r="J344" s="72"/>
      <c r="K344" s="36"/>
      <c r="L344" s="79">
        <v>344</v>
      </c>
      <c r="M344" s="79"/>
      <c r="N344" s="74"/>
      <c r="O344" s="81" t="s">
        <v>1235</v>
      </c>
    </row>
    <row r="345" spans="1:15" ht="15">
      <c r="A345" s="66" t="s">
        <v>193</v>
      </c>
      <c r="B345" s="66" t="s">
        <v>481</v>
      </c>
      <c r="C345" s="67"/>
      <c r="D345" s="68"/>
      <c r="E345" s="69"/>
      <c r="F345" s="70"/>
      <c r="G345" s="67"/>
      <c r="H345" s="71"/>
      <c r="I345" s="72"/>
      <c r="J345" s="72"/>
      <c r="K345" s="36"/>
      <c r="L345" s="79">
        <v>345</v>
      </c>
      <c r="M345" s="79"/>
      <c r="N345" s="74"/>
      <c r="O345" s="81" t="s">
        <v>1235</v>
      </c>
    </row>
    <row r="346" spans="1:15" ht="15">
      <c r="A346" s="66" t="s">
        <v>193</v>
      </c>
      <c r="B346" s="66" t="s">
        <v>482</v>
      </c>
      <c r="C346" s="67"/>
      <c r="D346" s="68"/>
      <c r="E346" s="69"/>
      <c r="F346" s="70"/>
      <c r="G346" s="67"/>
      <c r="H346" s="71"/>
      <c r="I346" s="72"/>
      <c r="J346" s="72"/>
      <c r="K346" s="36"/>
      <c r="L346" s="79">
        <v>346</v>
      </c>
      <c r="M346" s="79"/>
      <c r="N346" s="74"/>
      <c r="O346" s="81" t="s">
        <v>1235</v>
      </c>
    </row>
    <row r="347" spans="1:15" ht="15">
      <c r="A347" s="66" t="s">
        <v>184</v>
      </c>
      <c r="B347" s="66" t="s">
        <v>483</v>
      </c>
      <c r="C347" s="67"/>
      <c r="D347" s="68"/>
      <c r="E347" s="69"/>
      <c r="F347" s="70"/>
      <c r="G347" s="67"/>
      <c r="H347" s="71"/>
      <c r="I347" s="72"/>
      <c r="J347" s="72"/>
      <c r="K347" s="36"/>
      <c r="L347" s="79">
        <v>347</v>
      </c>
      <c r="M347" s="79"/>
      <c r="N347" s="74"/>
      <c r="O347" s="81" t="s">
        <v>1235</v>
      </c>
    </row>
    <row r="348" spans="1:15" ht="15">
      <c r="A348" s="66" t="s">
        <v>184</v>
      </c>
      <c r="B348" s="66" t="s">
        <v>484</v>
      </c>
      <c r="C348" s="67"/>
      <c r="D348" s="68"/>
      <c r="E348" s="69"/>
      <c r="F348" s="70"/>
      <c r="G348" s="67"/>
      <c r="H348" s="71"/>
      <c r="I348" s="72"/>
      <c r="J348" s="72"/>
      <c r="K348" s="36"/>
      <c r="L348" s="79">
        <v>348</v>
      </c>
      <c r="M348" s="79"/>
      <c r="N348" s="74"/>
      <c r="O348" s="81" t="s">
        <v>1235</v>
      </c>
    </row>
    <row r="349" spans="1:15" ht="15">
      <c r="A349" s="66" t="s">
        <v>184</v>
      </c>
      <c r="B349" s="66" t="s">
        <v>485</v>
      </c>
      <c r="C349" s="67"/>
      <c r="D349" s="68"/>
      <c r="E349" s="69"/>
      <c r="F349" s="70"/>
      <c r="G349" s="67"/>
      <c r="H349" s="71"/>
      <c r="I349" s="72"/>
      <c r="J349" s="72"/>
      <c r="K349" s="36"/>
      <c r="L349" s="79">
        <v>349</v>
      </c>
      <c r="M349" s="79"/>
      <c r="N349" s="74"/>
      <c r="O349" s="81" t="s">
        <v>1235</v>
      </c>
    </row>
    <row r="350" spans="1:15" ht="15">
      <c r="A350" s="66" t="s">
        <v>184</v>
      </c>
      <c r="B350" s="66" t="s">
        <v>223</v>
      </c>
      <c r="C350" s="67"/>
      <c r="D350" s="68"/>
      <c r="E350" s="69"/>
      <c r="F350" s="70"/>
      <c r="G350" s="67"/>
      <c r="H350" s="71"/>
      <c r="I350" s="72"/>
      <c r="J350" s="72"/>
      <c r="K350" s="36"/>
      <c r="L350" s="79">
        <v>350</v>
      </c>
      <c r="M350" s="79"/>
      <c r="N350" s="74"/>
      <c r="O350" s="81" t="s">
        <v>1235</v>
      </c>
    </row>
    <row r="351" spans="1:15" ht="15">
      <c r="A351" s="66" t="s">
        <v>184</v>
      </c>
      <c r="B351" s="66" t="s">
        <v>486</v>
      </c>
      <c r="C351" s="67"/>
      <c r="D351" s="68"/>
      <c r="E351" s="69"/>
      <c r="F351" s="70"/>
      <c r="G351" s="67"/>
      <c r="H351" s="71"/>
      <c r="I351" s="72"/>
      <c r="J351" s="72"/>
      <c r="K351" s="36"/>
      <c r="L351" s="79">
        <v>351</v>
      </c>
      <c r="M351" s="79"/>
      <c r="N351" s="74"/>
      <c r="O351" s="81" t="s">
        <v>1235</v>
      </c>
    </row>
    <row r="352" spans="1:15" ht="15">
      <c r="A352" s="66" t="s">
        <v>184</v>
      </c>
      <c r="B352" s="66" t="s">
        <v>291</v>
      </c>
      <c r="C352" s="67"/>
      <c r="D352" s="68"/>
      <c r="E352" s="69"/>
      <c r="F352" s="70"/>
      <c r="G352" s="67"/>
      <c r="H352" s="71"/>
      <c r="I352" s="72"/>
      <c r="J352" s="72"/>
      <c r="K352" s="36"/>
      <c r="L352" s="79">
        <v>352</v>
      </c>
      <c r="M352" s="79"/>
      <c r="N352" s="74"/>
      <c r="O352" s="81" t="s">
        <v>1235</v>
      </c>
    </row>
    <row r="353" spans="1:15" ht="15">
      <c r="A353" s="66" t="s">
        <v>184</v>
      </c>
      <c r="B353" s="66" t="s">
        <v>227</v>
      </c>
      <c r="C353" s="67"/>
      <c r="D353" s="68"/>
      <c r="E353" s="69"/>
      <c r="F353" s="70"/>
      <c r="G353" s="67"/>
      <c r="H353" s="71"/>
      <c r="I353" s="72"/>
      <c r="J353" s="72"/>
      <c r="K353" s="36"/>
      <c r="L353" s="79">
        <v>353</v>
      </c>
      <c r="M353" s="79"/>
      <c r="N353" s="74"/>
      <c r="O353" s="81" t="s">
        <v>1235</v>
      </c>
    </row>
    <row r="354" spans="1:15" ht="15">
      <c r="A354" s="66" t="s">
        <v>184</v>
      </c>
      <c r="B354" s="66" t="s">
        <v>224</v>
      </c>
      <c r="C354" s="67"/>
      <c r="D354" s="68"/>
      <c r="E354" s="69"/>
      <c r="F354" s="70"/>
      <c r="G354" s="67"/>
      <c r="H354" s="71"/>
      <c r="I354" s="72"/>
      <c r="J354" s="72"/>
      <c r="K354" s="36"/>
      <c r="L354" s="79">
        <v>354</v>
      </c>
      <c r="M354" s="79"/>
      <c r="N354" s="74"/>
      <c r="O354" s="81" t="s">
        <v>1235</v>
      </c>
    </row>
    <row r="355" spans="1:15" ht="15">
      <c r="A355" s="66" t="s">
        <v>184</v>
      </c>
      <c r="B355" s="66" t="s">
        <v>221</v>
      </c>
      <c r="C355" s="67"/>
      <c r="D355" s="68"/>
      <c r="E355" s="69"/>
      <c r="F355" s="70"/>
      <c r="G355" s="67"/>
      <c r="H355" s="71"/>
      <c r="I355" s="72"/>
      <c r="J355" s="72"/>
      <c r="K355" s="36"/>
      <c r="L355" s="79">
        <v>355</v>
      </c>
      <c r="M355" s="79"/>
      <c r="N355" s="74"/>
      <c r="O355" s="81" t="s">
        <v>1235</v>
      </c>
    </row>
    <row r="356" spans="1:15" ht="15">
      <c r="A356" s="66" t="s">
        <v>193</v>
      </c>
      <c r="B356" s="66" t="s">
        <v>184</v>
      </c>
      <c r="C356" s="67"/>
      <c r="D356" s="68"/>
      <c r="E356" s="69"/>
      <c r="F356" s="70"/>
      <c r="G356" s="67"/>
      <c r="H356" s="71"/>
      <c r="I356" s="72"/>
      <c r="J356" s="72"/>
      <c r="K356" s="36"/>
      <c r="L356" s="79">
        <v>356</v>
      </c>
      <c r="M356" s="79"/>
      <c r="N356" s="74"/>
      <c r="O356" s="81" t="s">
        <v>1235</v>
      </c>
    </row>
    <row r="357" spans="1:15" ht="15">
      <c r="A357" s="66" t="s">
        <v>193</v>
      </c>
      <c r="B357" s="66" t="s">
        <v>487</v>
      </c>
      <c r="C357" s="67"/>
      <c r="D357" s="68"/>
      <c r="E357" s="69"/>
      <c r="F357" s="70"/>
      <c r="G357" s="67"/>
      <c r="H357" s="71"/>
      <c r="I357" s="72"/>
      <c r="J357" s="72"/>
      <c r="K357" s="36"/>
      <c r="L357" s="79">
        <v>357</v>
      </c>
      <c r="M357" s="79"/>
      <c r="N357" s="74"/>
      <c r="O357" s="81" t="s">
        <v>1235</v>
      </c>
    </row>
    <row r="358" spans="1:15" ht="15">
      <c r="A358" s="66" t="s">
        <v>193</v>
      </c>
      <c r="B358" s="66" t="s">
        <v>488</v>
      </c>
      <c r="C358" s="67"/>
      <c r="D358" s="68"/>
      <c r="E358" s="69"/>
      <c r="F358" s="70"/>
      <c r="G358" s="67"/>
      <c r="H358" s="71"/>
      <c r="I358" s="72"/>
      <c r="J358" s="72"/>
      <c r="K358" s="36"/>
      <c r="L358" s="79">
        <v>358</v>
      </c>
      <c r="M358" s="79"/>
      <c r="N358" s="74"/>
      <c r="O358" s="81" t="s">
        <v>1235</v>
      </c>
    </row>
    <row r="359" spans="1:15" ht="15">
      <c r="A359" s="66" t="s">
        <v>193</v>
      </c>
      <c r="B359" s="66" t="s">
        <v>489</v>
      </c>
      <c r="C359" s="67"/>
      <c r="D359" s="68"/>
      <c r="E359" s="69"/>
      <c r="F359" s="70"/>
      <c r="G359" s="67"/>
      <c r="H359" s="71"/>
      <c r="I359" s="72"/>
      <c r="J359" s="72"/>
      <c r="K359" s="36"/>
      <c r="L359" s="79">
        <v>359</v>
      </c>
      <c r="M359" s="79"/>
      <c r="N359" s="74"/>
      <c r="O359" s="81" t="s">
        <v>1235</v>
      </c>
    </row>
    <row r="360" spans="1:15" ht="15">
      <c r="A360" s="66" t="s">
        <v>193</v>
      </c>
      <c r="B360" s="66" t="s">
        <v>490</v>
      </c>
      <c r="C360" s="67"/>
      <c r="D360" s="68"/>
      <c r="E360" s="69"/>
      <c r="F360" s="70"/>
      <c r="G360" s="67"/>
      <c r="H360" s="71"/>
      <c r="I360" s="72"/>
      <c r="J360" s="72"/>
      <c r="K360" s="36"/>
      <c r="L360" s="79">
        <v>360</v>
      </c>
      <c r="M360" s="79"/>
      <c r="N360" s="74"/>
      <c r="O360" s="81" t="s">
        <v>1235</v>
      </c>
    </row>
    <row r="361" spans="1:15" ht="15">
      <c r="A361" s="66" t="s">
        <v>193</v>
      </c>
      <c r="B361" s="66" t="s">
        <v>491</v>
      </c>
      <c r="C361" s="67"/>
      <c r="D361" s="68"/>
      <c r="E361" s="69"/>
      <c r="F361" s="70"/>
      <c r="G361" s="67"/>
      <c r="H361" s="71"/>
      <c r="I361" s="72"/>
      <c r="J361" s="72"/>
      <c r="K361" s="36"/>
      <c r="L361" s="79">
        <v>361</v>
      </c>
      <c r="M361" s="79"/>
      <c r="N361" s="74"/>
      <c r="O361" s="81" t="s">
        <v>1235</v>
      </c>
    </row>
    <row r="362" spans="1:15" ht="15">
      <c r="A362" s="66" t="s">
        <v>193</v>
      </c>
      <c r="B362" s="66" t="s">
        <v>492</v>
      </c>
      <c r="C362" s="67"/>
      <c r="D362" s="68"/>
      <c r="E362" s="69"/>
      <c r="F362" s="70"/>
      <c r="G362" s="67"/>
      <c r="H362" s="71"/>
      <c r="I362" s="72"/>
      <c r="J362" s="72"/>
      <c r="K362" s="36"/>
      <c r="L362" s="79">
        <v>362</v>
      </c>
      <c r="M362" s="79"/>
      <c r="N362" s="74"/>
      <c r="O362" s="81" t="s">
        <v>1235</v>
      </c>
    </row>
    <row r="363" spans="1:15" ht="15">
      <c r="A363" s="66" t="s">
        <v>193</v>
      </c>
      <c r="B363" s="66" t="s">
        <v>493</v>
      </c>
      <c r="C363" s="67"/>
      <c r="D363" s="68"/>
      <c r="E363" s="69"/>
      <c r="F363" s="70"/>
      <c r="G363" s="67"/>
      <c r="H363" s="71"/>
      <c r="I363" s="72"/>
      <c r="J363" s="72"/>
      <c r="K363" s="36"/>
      <c r="L363" s="79">
        <v>363</v>
      </c>
      <c r="M363" s="79"/>
      <c r="N363" s="74"/>
      <c r="O363" s="81" t="s">
        <v>1235</v>
      </c>
    </row>
    <row r="364" spans="1:15" ht="15">
      <c r="A364" s="66" t="s">
        <v>193</v>
      </c>
      <c r="B364" s="66" t="s">
        <v>494</v>
      </c>
      <c r="C364" s="67"/>
      <c r="D364" s="68"/>
      <c r="E364" s="69"/>
      <c r="F364" s="70"/>
      <c r="G364" s="67"/>
      <c r="H364" s="71"/>
      <c r="I364" s="72"/>
      <c r="J364" s="72"/>
      <c r="K364" s="36"/>
      <c r="L364" s="79">
        <v>364</v>
      </c>
      <c r="M364" s="79"/>
      <c r="N364" s="74"/>
      <c r="O364" s="81" t="s">
        <v>1235</v>
      </c>
    </row>
    <row r="365" spans="1:15" ht="15">
      <c r="A365" s="66" t="s">
        <v>193</v>
      </c>
      <c r="B365" s="66" t="s">
        <v>495</v>
      </c>
      <c r="C365" s="67"/>
      <c r="D365" s="68"/>
      <c r="E365" s="69"/>
      <c r="F365" s="70"/>
      <c r="G365" s="67"/>
      <c r="H365" s="71"/>
      <c r="I365" s="72"/>
      <c r="J365" s="72"/>
      <c r="K365" s="36"/>
      <c r="L365" s="79">
        <v>365</v>
      </c>
      <c r="M365" s="79"/>
      <c r="N365" s="74"/>
      <c r="O365" s="81" t="s">
        <v>1235</v>
      </c>
    </row>
    <row r="366" spans="1:15" ht="15">
      <c r="A366" s="66" t="s">
        <v>193</v>
      </c>
      <c r="B366" s="66" t="s">
        <v>496</v>
      </c>
      <c r="C366" s="67"/>
      <c r="D366" s="68"/>
      <c r="E366" s="69"/>
      <c r="F366" s="70"/>
      <c r="G366" s="67"/>
      <c r="H366" s="71"/>
      <c r="I366" s="72"/>
      <c r="J366" s="72"/>
      <c r="K366" s="36"/>
      <c r="L366" s="79">
        <v>366</v>
      </c>
      <c r="M366" s="79"/>
      <c r="N366" s="74"/>
      <c r="O366" s="81" t="s">
        <v>1235</v>
      </c>
    </row>
    <row r="367" spans="1:15" ht="15">
      <c r="A367" s="66" t="s">
        <v>193</v>
      </c>
      <c r="B367" s="66" t="s">
        <v>497</v>
      </c>
      <c r="C367" s="67"/>
      <c r="D367" s="68"/>
      <c r="E367" s="69"/>
      <c r="F367" s="70"/>
      <c r="G367" s="67"/>
      <c r="H367" s="71"/>
      <c r="I367" s="72"/>
      <c r="J367" s="72"/>
      <c r="K367" s="36"/>
      <c r="L367" s="79">
        <v>367</v>
      </c>
      <c r="M367" s="79"/>
      <c r="N367" s="74"/>
      <c r="O367" s="81" t="s">
        <v>1235</v>
      </c>
    </row>
    <row r="368" spans="1:15" ht="15">
      <c r="A368" s="66" t="s">
        <v>193</v>
      </c>
      <c r="B368" s="66" t="s">
        <v>498</v>
      </c>
      <c r="C368" s="67"/>
      <c r="D368" s="68"/>
      <c r="E368" s="69"/>
      <c r="F368" s="70"/>
      <c r="G368" s="67"/>
      <c r="H368" s="71"/>
      <c r="I368" s="72"/>
      <c r="J368" s="72"/>
      <c r="K368" s="36"/>
      <c r="L368" s="79">
        <v>368</v>
      </c>
      <c r="M368" s="79"/>
      <c r="N368" s="74"/>
      <c r="O368" s="81" t="s">
        <v>1235</v>
      </c>
    </row>
    <row r="369" spans="1:15" ht="15">
      <c r="A369" s="66" t="s">
        <v>193</v>
      </c>
      <c r="B369" s="66" t="s">
        <v>485</v>
      </c>
      <c r="C369" s="67"/>
      <c r="D369" s="68"/>
      <c r="E369" s="69"/>
      <c r="F369" s="70"/>
      <c r="G369" s="67"/>
      <c r="H369" s="71"/>
      <c r="I369" s="72"/>
      <c r="J369" s="72"/>
      <c r="K369" s="36"/>
      <c r="L369" s="79">
        <v>369</v>
      </c>
      <c r="M369" s="79"/>
      <c r="N369" s="74"/>
      <c r="O369" s="81" t="s">
        <v>1235</v>
      </c>
    </row>
    <row r="370" spans="1:15" ht="15">
      <c r="A370" s="66" t="s">
        <v>194</v>
      </c>
      <c r="B370" s="66" t="s">
        <v>485</v>
      </c>
      <c r="C370" s="67"/>
      <c r="D370" s="68"/>
      <c r="E370" s="69"/>
      <c r="F370" s="70"/>
      <c r="G370" s="67"/>
      <c r="H370" s="71"/>
      <c r="I370" s="72"/>
      <c r="J370" s="72"/>
      <c r="K370" s="36"/>
      <c r="L370" s="79">
        <v>370</v>
      </c>
      <c r="M370" s="79"/>
      <c r="N370" s="74"/>
      <c r="O370" s="81" t="s">
        <v>1235</v>
      </c>
    </row>
    <row r="371" spans="1:15" ht="15">
      <c r="A371" s="66" t="s">
        <v>179</v>
      </c>
      <c r="B371" s="66" t="s">
        <v>499</v>
      </c>
      <c r="C371" s="67"/>
      <c r="D371" s="68"/>
      <c r="E371" s="69"/>
      <c r="F371" s="70"/>
      <c r="G371" s="67"/>
      <c r="H371" s="71"/>
      <c r="I371" s="72"/>
      <c r="J371" s="72"/>
      <c r="K371" s="36"/>
      <c r="L371" s="79">
        <v>371</v>
      </c>
      <c r="M371" s="79"/>
      <c r="N371" s="74"/>
      <c r="O371" s="81" t="s">
        <v>1235</v>
      </c>
    </row>
    <row r="372" spans="1:15" ht="15">
      <c r="A372" s="66" t="s">
        <v>194</v>
      </c>
      <c r="B372" s="66" t="s">
        <v>499</v>
      </c>
      <c r="C372" s="67"/>
      <c r="D372" s="68"/>
      <c r="E372" s="69"/>
      <c r="F372" s="70"/>
      <c r="G372" s="67"/>
      <c r="H372" s="71"/>
      <c r="I372" s="72"/>
      <c r="J372" s="72"/>
      <c r="K372" s="36"/>
      <c r="L372" s="79">
        <v>372</v>
      </c>
      <c r="M372" s="79"/>
      <c r="N372" s="74"/>
      <c r="O372" s="81" t="s">
        <v>1235</v>
      </c>
    </row>
    <row r="373" spans="1:15" ht="15">
      <c r="A373" s="66" t="s">
        <v>194</v>
      </c>
      <c r="B373" s="66" t="s">
        <v>500</v>
      </c>
      <c r="C373" s="67"/>
      <c r="D373" s="68"/>
      <c r="E373" s="69"/>
      <c r="F373" s="70"/>
      <c r="G373" s="67"/>
      <c r="H373" s="71"/>
      <c r="I373" s="72"/>
      <c r="J373" s="72"/>
      <c r="K373" s="36"/>
      <c r="L373" s="79">
        <v>373</v>
      </c>
      <c r="M373" s="79"/>
      <c r="N373" s="74"/>
      <c r="O373" s="81" t="s">
        <v>1235</v>
      </c>
    </row>
    <row r="374" spans="1:15" ht="15">
      <c r="A374" s="66" t="s">
        <v>194</v>
      </c>
      <c r="B374" s="66" t="s">
        <v>501</v>
      </c>
      <c r="C374" s="67"/>
      <c r="D374" s="68"/>
      <c r="E374" s="69"/>
      <c r="F374" s="70"/>
      <c r="G374" s="67"/>
      <c r="H374" s="71"/>
      <c r="I374" s="72"/>
      <c r="J374" s="72"/>
      <c r="K374" s="36"/>
      <c r="L374" s="79">
        <v>374</v>
      </c>
      <c r="M374" s="79"/>
      <c r="N374" s="74"/>
      <c r="O374" s="81" t="s">
        <v>1235</v>
      </c>
    </row>
    <row r="375" spans="1:15" ht="15">
      <c r="A375" s="66" t="s">
        <v>194</v>
      </c>
      <c r="B375" s="66" t="s">
        <v>502</v>
      </c>
      <c r="C375" s="67"/>
      <c r="D375" s="68"/>
      <c r="E375" s="69"/>
      <c r="F375" s="70"/>
      <c r="G375" s="67"/>
      <c r="H375" s="71"/>
      <c r="I375" s="72"/>
      <c r="J375" s="72"/>
      <c r="K375" s="36"/>
      <c r="L375" s="79">
        <v>375</v>
      </c>
      <c r="M375" s="79"/>
      <c r="N375" s="74"/>
      <c r="O375" s="81" t="s">
        <v>1235</v>
      </c>
    </row>
    <row r="376" spans="1:15" ht="15">
      <c r="A376" s="66" t="s">
        <v>194</v>
      </c>
      <c r="B376" s="66" t="s">
        <v>503</v>
      </c>
      <c r="C376" s="67"/>
      <c r="D376" s="68"/>
      <c r="E376" s="69"/>
      <c r="F376" s="70"/>
      <c r="G376" s="67"/>
      <c r="H376" s="71"/>
      <c r="I376" s="72"/>
      <c r="J376" s="72"/>
      <c r="K376" s="36"/>
      <c r="L376" s="79">
        <v>376</v>
      </c>
      <c r="M376" s="79"/>
      <c r="N376" s="74"/>
      <c r="O376" s="81" t="s">
        <v>1235</v>
      </c>
    </row>
    <row r="377" spans="1:15" ht="15">
      <c r="A377" s="66" t="s">
        <v>194</v>
      </c>
      <c r="B377" s="66" t="s">
        <v>504</v>
      </c>
      <c r="C377" s="67"/>
      <c r="D377" s="68"/>
      <c r="E377" s="69"/>
      <c r="F377" s="70"/>
      <c r="G377" s="67"/>
      <c r="H377" s="71"/>
      <c r="I377" s="72"/>
      <c r="J377" s="72"/>
      <c r="K377" s="36"/>
      <c r="L377" s="79">
        <v>377</v>
      </c>
      <c r="M377" s="79"/>
      <c r="N377" s="74"/>
      <c r="O377" s="81" t="s">
        <v>1235</v>
      </c>
    </row>
    <row r="378" spans="1:15" ht="15">
      <c r="A378" s="66" t="s">
        <v>194</v>
      </c>
      <c r="B378" s="66" t="s">
        <v>505</v>
      </c>
      <c r="C378" s="67"/>
      <c r="D378" s="68"/>
      <c r="E378" s="69"/>
      <c r="F378" s="70"/>
      <c r="G378" s="67"/>
      <c r="H378" s="71"/>
      <c r="I378" s="72"/>
      <c r="J378" s="72"/>
      <c r="K378" s="36"/>
      <c r="L378" s="79">
        <v>378</v>
      </c>
      <c r="M378" s="79"/>
      <c r="N378" s="74"/>
      <c r="O378" s="81" t="s">
        <v>1235</v>
      </c>
    </row>
    <row r="379" spans="1:15" ht="15">
      <c r="A379" s="66" t="s">
        <v>194</v>
      </c>
      <c r="B379" s="66" t="s">
        <v>506</v>
      </c>
      <c r="C379" s="67"/>
      <c r="D379" s="68"/>
      <c r="E379" s="69"/>
      <c r="F379" s="70"/>
      <c r="G379" s="67"/>
      <c r="H379" s="71"/>
      <c r="I379" s="72"/>
      <c r="J379" s="72"/>
      <c r="K379" s="36"/>
      <c r="L379" s="79">
        <v>379</v>
      </c>
      <c r="M379" s="79"/>
      <c r="N379" s="74"/>
      <c r="O379" s="81" t="s">
        <v>1235</v>
      </c>
    </row>
    <row r="380" spans="1:15" ht="15">
      <c r="A380" s="66" t="s">
        <v>194</v>
      </c>
      <c r="B380" s="66" t="s">
        <v>507</v>
      </c>
      <c r="C380" s="67"/>
      <c r="D380" s="68"/>
      <c r="E380" s="69"/>
      <c r="F380" s="70"/>
      <c r="G380" s="67"/>
      <c r="H380" s="71"/>
      <c r="I380" s="72"/>
      <c r="J380" s="72"/>
      <c r="K380" s="36"/>
      <c r="L380" s="79">
        <v>380</v>
      </c>
      <c r="M380" s="79"/>
      <c r="N380" s="74"/>
      <c r="O380" s="81" t="s">
        <v>1235</v>
      </c>
    </row>
    <row r="381" spans="1:15" ht="15">
      <c r="A381" s="66" t="s">
        <v>194</v>
      </c>
      <c r="B381" s="66" t="s">
        <v>508</v>
      </c>
      <c r="C381" s="67"/>
      <c r="D381" s="68"/>
      <c r="E381" s="69"/>
      <c r="F381" s="70"/>
      <c r="G381" s="67"/>
      <c r="H381" s="71"/>
      <c r="I381" s="72"/>
      <c r="J381" s="72"/>
      <c r="K381" s="36"/>
      <c r="L381" s="79">
        <v>381</v>
      </c>
      <c r="M381" s="79"/>
      <c r="N381" s="74"/>
      <c r="O381" s="81" t="s">
        <v>1235</v>
      </c>
    </row>
    <row r="382" spans="1:15" ht="15">
      <c r="A382" s="66" t="s">
        <v>194</v>
      </c>
      <c r="B382" s="66" t="s">
        <v>509</v>
      </c>
      <c r="C382" s="67"/>
      <c r="D382" s="68"/>
      <c r="E382" s="69"/>
      <c r="F382" s="70"/>
      <c r="G382" s="67"/>
      <c r="H382" s="71"/>
      <c r="I382" s="72"/>
      <c r="J382" s="72"/>
      <c r="K382" s="36"/>
      <c r="L382" s="79">
        <v>382</v>
      </c>
      <c r="M382" s="79"/>
      <c r="N382" s="74"/>
      <c r="O382" s="81" t="s">
        <v>1235</v>
      </c>
    </row>
    <row r="383" spans="1:15" ht="15">
      <c r="A383" s="66" t="s">
        <v>194</v>
      </c>
      <c r="B383" s="66" t="s">
        <v>510</v>
      </c>
      <c r="C383" s="67"/>
      <c r="D383" s="68"/>
      <c r="E383" s="69"/>
      <c r="F383" s="70"/>
      <c r="G383" s="67"/>
      <c r="H383" s="71"/>
      <c r="I383" s="72"/>
      <c r="J383" s="72"/>
      <c r="K383" s="36"/>
      <c r="L383" s="79">
        <v>383</v>
      </c>
      <c r="M383" s="79"/>
      <c r="N383" s="74"/>
      <c r="O383" s="81" t="s">
        <v>1235</v>
      </c>
    </row>
    <row r="384" spans="1:15" ht="15">
      <c r="A384" s="66" t="s">
        <v>194</v>
      </c>
      <c r="B384" s="66" t="s">
        <v>511</v>
      </c>
      <c r="C384" s="67"/>
      <c r="D384" s="68"/>
      <c r="E384" s="69"/>
      <c r="F384" s="70"/>
      <c r="G384" s="67"/>
      <c r="H384" s="71"/>
      <c r="I384" s="72"/>
      <c r="J384" s="72"/>
      <c r="K384" s="36"/>
      <c r="L384" s="79">
        <v>384</v>
      </c>
      <c r="M384" s="79"/>
      <c r="N384" s="74"/>
      <c r="O384" s="81" t="s">
        <v>1235</v>
      </c>
    </row>
    <row r="385" spans="1:15" ht="15">
      <c r="A385" s="66" t="s">
        <v>193</v>
      </c>
      <c r="B385" s="66" t="s">
        <v>512</v>
      </c>
      <c r="C385" s="67"/>
      <c r="D385" s="68"/>
      <c r="E385" s="69"/>
      <c r="F385" s="70"/>
      <c r="G385" s="67"/>
      <c r="H385" s="71"/>
      <c r="I385" s="72"/>
      <c r="J385" s="72"/>
      <c r="K385" s="36"/>
      <c r="L385" s="79">
        <v>385</v>
      </c>
      <c r="M385" s="79"/>
      <c r="N385" s="74"/>
      <c r="O385" s="81" t="s">
        <v>1235</v>
      </c>
    </row>
    <row r="386" spans="1:15" ht="15">
      <c r="A386" s="66" t="s">
        <v>194</v>
      </c>
      <c r="B386" s="66" t="s">
        <v>512</v>
      </c>
      <c r="C386" s="67"/>
      <c r="D386" s="68"/>
      <c r="E386" s="69"/>
      <c r="F386" s="70"/>
      <c r="G386" s="67"/>
      <c r="H386" s="71"/>
      <c r="I386" s="72"/>
      <c r="J386" s="72"/>
      <c r="K386" s="36"/>
      <c r="L386" s="79">
        <v>386</v>
      </c>
      <c r="M386" s="79"/>
      <c r="N386" s="74"/>
      <c r="O386" s="81" t="s">
        <v>1235</v>
      </c>
    </row>
    <row r="387" spans="1:15" ht="15">
      <c r="A387" s="66" t="s">
        <v>194</v>
      </c>
      <c r="B387" s="66" t="s">
        <v>513</v>
      </c>
      <c r="C387" s="67"/>
      <c r="D387" s="68"/>
      <c r="E387" s="69"/>
      <c r="F387" s="70"/>
      <c r="G387" s="67"/>
      <c r="H387" s="71"/>
      <c r="I387" s="72"/>
      <c r="J387" s="72"/>
      <c r="K387" s="36"/>
      <c r="L387" s="79">
        <v>387</v>
      </c>
      <c r="M387" s="79"/>
      <c r="N387" s="74"/>
      <c r="O387" s="81" t="s">
        <v>1235</v>
      </c>
    </row>
    <row r="388" spans="1:15" ht="15">
      <c r="A388" s="66" t="s">
        <v>194</v>
      </c>
      <c r="B388" s="66" t="s">
        <v>514</v>
      </c>
      <c r="C388" s="67"/>
      <c r="D388" s="68"/>
      <c r="E388" s="69"/>
      <c r="F388" s="70"/>
      <c r="G388" s="67"/>
      <c r="H388" s="71"/>
      <c r="I388" s="72"/>
      <c r="J388" s="72"/>
      <c r="K388" s="36"/>
      <c r="L388" s="79">
        <v>388</v>
      </c>
      <c r="M388" s="79"/>
      <c r="N388" s="74"/>
      <c r="O388" s="81" t="s">
        <v>1235</v>
      </c>
    </row>
    <row r="389" spans="1:15" ht="15">
      <c r="A389" s="66" t="s">
        <v>194</v>
      </c>
      <c r="B389" s="66" t="s">
        <v>515</v>
      </c>
      <c r="C389" s="67"/>
      <c r="D389" s="68"/>
      <c r="E389" s="69"/>
      <c r="F389" s="70"/>
      <c r="G389" s="67"/>
      <c r="H389" s="71"/>
      <c r="I389" s="72"/>
      <c r="J389" s="72"/>
      <c r="K389" s="36"/>
      <c r="L389" s="79">
        <v>389</v>
      </c>
      <c r="M389" s="79"/>
      <c r="N389" s="74"/>
      <c r="O389" s="81" t="s">
        <v>1235</v>
      </c>
    </row>
    <row r="390" spans="1:15" ht="15">
      <c r="A390" s="66" t="s">
        <v>194</v>
      </c>
      <c r="B390" s="66" t="s">
        <v>516</v>
      </c>
      <c r="C390" s="67"/>
      <c r="D390" s="68"/>
      <c r="E390" s="69"/>
      <c r="F390" s="70"/>
      <c r="G390" s="67"/>
      <c r="H390" s="71"/>
      <c r="I390" s="72"/>
      <c r="J390" s="72"/>
      <c r="K390" s="36"/>
      <c r="L390" s="79">
        <v>390</v>
      </c>
      <c r="M390" s="79"/>
      <c r="N390" s="74"/>
      <c r="O390" s="81" t="s">
        <v>1235</v>
      </c>
    </row>
    <row r="391" spans="1:15" ht="15">
      <c r="A391" s="66" t="s">
        <v>194</v>
      </c>
      <c r="B391" s="66" t="s">
        <v>517</v>
      </c>
      <c r="C391" s="67"/>
      <c r="D391" s="68"/>
      <c r="E391" s="69"/>
      <c r="F391" s="70"/>
      <c r="G391" s="67"/>
      <c r="H391" s="71"/>
      <c r="I391" s="72"/>
      <c r="J391" s="72"/>
      <c r="K391" s="36"/>
      <c r="L391" s="79">
        <v>391</v>
      </c>
      <c r="M391" s="79"/>
      <c r="N391" s="74"/>
      <c r="O391" s="81" t="s">
        <v>1235</v>
      </c>
    </row>
    <row r="392" spans="1:15" ht="15">
      <c r="A392" s="66" t="s">
        <v>194</v>
      </c>
      <c r="B392" s="66" t="s">
        <v>518</v>
      </c>
      <c r="C392" s="67"/>
      <c r="D392" s="68"/>
      <c r="E392" s="69"/>
      <c r="F392" s="70"/>
      <c r="G392" s="67"/>
      <c r="H392" s="71"/>
      <c r="I392" s="72"/>
      <c r="J392" s="72"/>
      <c r="K392" s="36"/>
      <c r="L392" s="79">
        <v>392</v>
      </c>
      <c r="M392" s="79"/>
      <c r="N392" s="74"/>
      <c r="O392" s="81" t="s">
        <v>1235</v>
      </c>
    </row>
    <row r="393" spans="1:15" ht="15">
      <c r="A393" s="66" t="s">
        <v>194</v>
      </c>
      <c r="B393" s="66" t="s">
        <v>519</v>
      </c>
      <c r="C393" s="67"/>
      <c r="D393" s="68"/>
      <c r="E393" s="69"/>
      <c r="F393" s="70"/>
      <c r="G393" s="67"/>
      <c r="H393" s="71"/>
      <c r="I393" s="72"/>
      <c r="J393" s="72"/>
      <c r="K393" s="36"/>
      <c r="L393" s="79">
        <v>393</v>
      </c>
      <c r="M393" s="79"/>
      <c r="N393" s="74"/>
      <c r="O393" s="81" t="s">
        <v>1235</v>
      </c>
    </row>
    <row r="394" spans="1:15" ht="15">
      <c r="A394" s="66" t="s">
        <v>194</v>
      </c>
      <c r="B394" s="66" t="s">
        <v>292</v>
      </c>
      <c r="C394" s="67"/>
      <c r="D394" s="68"/>
      <c r="E394" s="69"/>
      <c r="F394" s="70"/>
      <c r="G394" s="67"/>
      <c r="H394" s="71"/>
      <c r="I394" s="72"/>
      <c r="J394" s="72"/>
      <c r="K394" s="36"/>
      <c r="L394" s="79">
        <v>394</v>
      </c>
      <c r="M394" s="79"/>
      <c r="N394" s="74"/>
      <c r="O394" s="81" t="s">
        <v>1235</v>
      </c>
    </row>
    <row r="395" spans="1:15" ht="15">
      <c r="A395" s="66" t="s">
        <v>194</v>
      </c>
      <c r="B395" s="66" t="s">
        <v>520</v>
      </c>
      <c r="C395" s="67"/>
      <c r="D395" s="68"/>
      <c r="E395" s="69"/>
      <c r="F395" s="70"/>
      <c r="G395" s="67"/>
      <c r="H395" s="71"/>
      <c r="I395" s="72"/>
      <c r="J395" s="72"/>
      <c r="K395" s="36"/>
      <c r="L395" s="79">
        <v>395</v>
      </c>
      <c r="M395" s="79"/>
      <c r="N395" s="74"/>
      <c r="O395" s="81" t="s">
        <v>1235</v>
      </c>
    </row>
    <row r="396" spans="1:15" ht="15">
      <c r="A396" s="66" t="s">
        <v>194</v>
      </c>
      <c r="B396" s="66" t="s">
        <v>521</v>
      </c>
      <c r="C396" s="67"/>
      <c r="D396" s="68"/>
      <c r="E396" s="69"/>
      <c r="F396" s="70"/>
      <c r="G396" s="67"/>
      <c r="H396" s="71"/>
      <c r="I396" s="72"/>
      <c r="J396" s="72"/>
      <c r="K396" s="36"/>
      <c r="L396" s="79">
        <v>396</v>
      </c>
      <c r="M396" s="79"/>
      <c r="N396" s="74"/>
      <c r="O396" s="81" t="s">
        <v>1235</v>
      </c>
    </row>
    <row r="397" spans="1:15" ht="15">
      <c r="A397" s="66" t="s">
        <v>194</v>
      </c>
      <c r="B397" s="66" t="s">
        <v>522</v>
      </c>
      <c r="C397" s="67"/>
      <c r="D397" s="68"/>
      <c r="E397" s="69"/>
      <c r="F397" s="70"/>
      <c r="G397" s="67"/>
      <c r="H397" s="71"/>
      <c r="I397" s="72"/>
      <c r="J397" s="72"/>
      <c r="K397" s="36"/>
      <c r="L397" s="79">
        <v>397</v>
      </c>
      <c r="M397" s="79"/>
      <c r="N397" s="74"/>
      <c r="O397" s="81" t="s">
        <v>1235</v>
      </c>
    </row>
    <row r="398" spans="1:15" ht="15">
      <c r="A398" s="66" t="s">
        <v>194</v>
      </c>
      <c r="B398" s="66" t="s">
        <v>523</v>
      </c>
      <c r="C398" s="67"/>
      <c r="D398" s="68"/>
      <c r="E398" s="69"/>
      <c r="F398" s="70"/>
      <c r="G398" s="67"/>
      <c r="H398" s="71"/>
      <c r="I398" s="72"/>
      <c r="J398" s="72"/>
      <c r="K398" s="36"/>
      <c r="L398" s="79">
        <v>398</v>
      </c>
      <c r="M398" s="79"/>
      <c r="N398" s="74"/>
      <c r="O398" s="81" t="s">
        <v>1235</v>
      </c>
    </row>
    <row r="399" spans="1:15" ht="15">
      <c r="A399" s="66" t="s">
        <v>194</v>
      </c>
      <c r="B399" s="66" t="s">
        <v>524</v>
      </c>
      <c r="C399" s="67"/>
      <c r="D399" s="68"/>
      <c r="E399" s="69"/>
      <c r="F399" s="70"/>
      <c r="G399" s="67"/>
      <c r="H399" s="71"/>
      <c r="I399" s="72"/>
      <c r="J399" s="72"/>
      <c r="K399" s="36"/>
      <c r="L399" s="79">
        <v>399</v>
      </c>
      <c r="M399" s="79"/>
      <c r="N399" s="74"/>
      <c r="O399" s="81" t="s">
        <v>1235</v>
      </c>
    </row>
    <row r="400" spans="1:15" ht="15">
      <c r="A400" s="66" t="s">
        <v>194</v>
      </c>
      <c r="B400" s="66" t="s">
        <v>475</v>
      </c>
      <c r="C400" s="67"/>
      <c r="D400" s="68"/>
      <c r="E400" s="69"/>
      <c r="F400" s="70"/>
      <c r="G400" s="67"/>
      <c r="H400" s="71"/>
      <c r="I400" s="72"/>
      <c r="J400" s="72"/>
      <c r="K400" s="36"/>
      <c r="L400" s="79">
        <v>400</v>
      </c>
      <c r="M400" s="79"/>
      <c r="N400" s="74"/>
      <c r="O400" s="81" t="s">
        <v>1235</v>
      </c>
    </row>
    <row r="401" spans="1:15" ht="15">
      <c r="A401" s="66" t="s">
        <v>193</v>
      </c>
      <c r="B401" s="66" t="s">
        <v>194</v>
      </c>
      <c r="C401" s="67"/>
      <c r="D401" s="68"/>
      <c r="E401" s="69"/>
      <c r="F401" s="70"/>
      <c r="G401" s="67"/>
      <c r="H401" s="71"/>
      <c r="I401" s="72"/>
      <c r="J401" s="72"/>
      <c r="K401" s="36"/>
      <c r="L401" s="79">
        <v>401</v>
      </c>
      <c r="M401" s="79"/>
      <c r="N401" s="74"/>
      <c r="O401" s="81" t="s">
        <v>1235</v>
      </c>
    </row>
    <row r="402" spans="1:15" ht="15">
      <c r="A402" s="66" t="s">
        <v>194</v>
      </c>
      <c r="B402" s="66" t="s">
        <v>226</v>
      </c>
      <c r="C402" s="67"/>
      <c r="D402" s="68"/>
      <c r="E402" s="69"/>
      <c r="F402" s="70"/>
      <c r="G402" s="67"/>
      <c r="H402" s="71"/>
      <c r="I402" s="72"/>
      <c r="J402" s="72"/>
      <c r="K402" s="36"/>
      <c r="L402" s="79">
        <v>402</v>
      </c>
      <c r="M402" s="79"/>
      <c r="N402" s="74"/>
      <c r="O402" s="81" t="s">
        <v>1235</v>
      </c>
    </row>
    <row r="403" spans="1:15" ht="15">
      <c r="A403" s="66" t="s">
        <v>194</v>
      </c>
      <c r="B403" s="66" t="s">
        <v>216</v>
      </c>
      <c r="C403" s="67"/>
      <c r="D403" s="68"/>
      <c r="E403" s="69"/>
      <c r="F403" s="70"/>
      <c r="G403" s="67"/>
      <c r="H403" s="71"/>
      <c r="I403" s="72"/>
      <c r="J403" s="72"/>
      <c r="K403" s="36"/>
      <c r="L403" s="79">
        <v>403</v>
      </c>
      <c r="M403" s="79"/>
      <c r="N403" s="74"/>
      <c r="O403" s="81" t="s">
        <v>1235</v>
      </c>
    </row>
    <row r="404" spans="1:15" ht="15">
      <c r="A404" s="66" t="s">
        <v>194</v>
      </c>
      <c r="B404" s="66" t="s">
        <v>206</v>
      </c>
      <c r="C404" s="67"/>
      <c r="D404" s="68"/>
      <c r="E404" s="69"/>
      <c r="F404" s="70"/>
      <c r="G404" s="67"/>
      <c r="H404" s="71"/>
      <c r="I404" s="72"/>
      <c r="J404" s="72"/>
      <c r="K404" s="36"/>
      <c r="L404" s="79">
        <v>404</v>
      </c>
      <c r="M404" s="79"/>
      <c r="N404" s="74"/>
      <c r="O404" s="81" t="s">
        <v>1235</v>
      </c>
    </row>
    <row r="405" spans="1:15" ht="15">
      <c r="A405" s="66" t="s">
        <v>194</v>
      </c>
      <c r="B405" s="66" t="s">
        <v>525</v>
      </c>
      <c r="C405" s="67"/>
      <c r="D405" s="68"/>
      <c r="E405" s="69"/>
      <c r="F405" s="70"/>
      <c r="G405" s="67"/>
      <c r="H405" s="71"/>
      <c r="I405" s="72"/>
      <c r="J405" s="72"/>
      <c r="K405" s="36"/>
      <c r="L405" s="79">
        <v>405</v>
      </c>
      <c r="M405" s="79"/>
      <c r="N405" s="74"/>
      <c r="O405" s="81" t="s">
        <v>1235</v>
      </c>
    </row>
    <row r="406" spans="1:15" ht="15">
      <c r="A406" s="66" t="s">
        <v>194</v>
      </c>
      <c r="B406" s="66" t="s">
        <v>526</v>
      </c>
      <c r="C406" s="67"/>
      <c r="D406" s="68"/>
      <c r="E406" s="69"/>
      <c r="F406" s="70"/>
      <c r="G406" s="67"/>
      <c r="H406" s="71"/>
      <c r="I406" s="72"/>
      <c r="J406" s="72"/>
      <c r="K406" s="36"/>
      <c r="L406" s="79">
        <v>406</v>
      </c>
      <c r="M406" s="79"/>
      <c r="N406" s="74"/>
      <c r="O406" s="81" t="s">
        <v>1235</v>
      </c>
    </row>
    <row r="407" spans="1:15" ht="15">
      <c r="A407" s="66" t="s">
        <v>194</v>
      </c>
      <c r="B407" s="66" t="s">
        <v>295</v>
      </c>
      <c r="C407" s="67"/>
      <c r="D407" s="68"/>
      <c r="E407" s="69"/>
      <c r="F407" s="70"/>
      <c r="G407" s="67"/>
      <c r="H407" s="71"/>
      <c r="I407" s="72"/>
      <c r="J407" s="72"/>
      <c r="K407" s="36"/>
      <c r="L407" s="79">
        <v>407</v>
      </c>
      <c r="M407" s="79"/>
      <c r="N407" s="74"/>
      <c r="O407" s="81" t="s">
        <v>1235</v>
      </c>
    </row>
    <row r="408" spans="1:15" ht="15">
      <c r="A408" s="66" t="s">
        <v>194</v>
      </c>
      <c r="B408" s="66" t="s">
        <v>218</v>
      </c>
      <c r="C408" s="67"/>
      <c r="D408" s="68"/>
      <c r="E408" s="69"/>
      <c r="F408" s="70"/>
      <c r="G408" s="67"/>
      <c r="H408" s="71"/>
      <c r="I408" s="72"/>
      <c r="J408" s="72"/>
      <c r="K408" s="36"/>
      <c r="L408" s="79">
        <v>408</v>
      </c>
      <c r="M408" s="79"/>
      <c r="N408" s="74"/>
      <c r="O408" s="81" t="s">
        <v>1235</v>
      </c>
    </row>
    <row r="409" spans="1:15" ht="15">
      <c r="A409" s="66" t="s">
        <v>194</v>
      </c>
      <c r="B409" s="66" t="s">
        <v>211</v>
      </c>
      <c r="C409" s="67"/>
      <c r="D409" s="68"/>
      <c r="E409" s="69"/>
      <c r="F409" s="70"/>
      <c r="G409" s="67"/>
      <c r="H409" s="71"/>
      <c r="I409" s="72"/>
      <c r="J409" s="72"/>
      <c r="K409" s="36"/>
      <c r="L409" s="79">
        <v>409</v>
      </c>
      <c r="M409" s="79"/>
      <c r="N409" s="74"/>
      <c r="O409" s="81" t="s">
        <v>1235</v>
      </c>
    </row>
    <row r="410" spans="1:15" ht="15">
      <c r="A410" s="66" t="s">
        <v>194</v>
      </c>
      <c r="B410" s="66" t="s">
        <v>221</v>
      </c>
      <c r="C410" s="67"/>
      <c r="D410" s="68"/>
      <c r="E410" s="69"/>
      <c r="F410" s="70"/>
      <c r="G410" s="67"/>
      <c r="H410" s="71"/>
      <c r="I410" s="72"/>
      <c r="J410" s="72"/>
      <c r="K410" s="36"/>
      <c r="L410" s="79">
        <v>410</v>
      </c>
      <c r="M410" s="79"/>
      <c r="N410" s="74"/>
      <c r="O410" s="81" t="s">
        <v>1235</v>
      </c>
    </row>
    <row r="411" spans="1:15" ht="15">
      <c r="A411" s="66" t="s">
        <v>194</v>
      </c>
      <c r="B411" s="66" t="s">
        <v>223</v>
      </c>
      <c r="C411" s="67"/>
      <c r="D411" s="68"/>
      <c r="E411" s="69"/>
      <c r="F411" s="70"/>
      <c r="G411" s="67"/>
      <c r="H411" s="71"/>
      <c r="I411" s="72"/>
      <c r="J411" s="72"/>
      <c r="K411" s="36"/>
      <c r="L411" s="79">
        <v>411</v>
      </c>
      <c r="M411" s="79"/>
      <c r="N411" s="74"/>
      <c r="O411" s="81" t="s">
        <v>1235</v>
      </c>
    </row>
    <row r="412" spans="1:15" ht="15">
      <c r="A412" s="66" t="s">
        <v>194</v>
      </c>
      <c r="B412" s="66" t="s">
        <v>225</v>
      </c>
      <c r="C412" s="67"/>
      <c r="D412" s="68"/>
      <c r="E412" s="69"/>
      <c r="F412" s="70"/>
      <c r="G412" s="67"/>
      <c r="H412" s="71"/>
      <c r="I412" s="72"/>
      <c r="J412" s="72"/>
      <c r="K412" s="36"/>
      <c r="L412" s="79">
        <v>412</v>
      </c>
      <c r="M412" s="79"/>
      <c r="N412" s="74"/>
      <c r="O412" s="81" t="s">
        <v>1235</v>
      </c>
    </row>
    <row r="413" spans="1:15" ht="15">
      <c r="A413" s="66" t="s">
        <v>194</v>
      </c>
      <c r="B413" s="66" t="s">
        <v>179</v>
      </c>
      <c r="C413" s="67"/>
      <c r="D413" s="68"/>
      <c r="E413" s="69"/>
      <c r="F413" s="70"/>
      <c r="G413" s="67"/>
      <c r="H413" s="71"/>
      <c r="I413" s="72"/>
      <c r="J413" s="72"/>
      <c r="K413" s="36"/>
      <c r="L413" s="79">
        <v>413</v>
      </c>
      <c r="M413" s="79"/>
      <c r="N413" s="74"/>
      <c r="O413" s="81" t="s">
        <v>1235</v>
      </c>
    </row>
    <row r="414" spans="1:15" ht="15">
      <c r="A414" s="66" t="s">
        <v>194</v>
      </c>
      <c r="B414" s="66" t="s">
        <v>207</v>
      </c>
      <c r="C414" s="67"/>
      <c r="D414" s="68"/>
      <c r="E414" s="69"/>
      <c r="F414" s="70"/>
      <c r="G414" s="67"/>
      <c r="H414" s="71"/>
      <c r="I414" s="72"/>
      <c r="J414" s="72"/>
      <c r="K414" s="36"/>
      <c r="L414" s="79">
        <v>414</v>
      </c>
      <c r="M414" s="79"/>
      <c r="N414" s="74"/>
      <c r="O414" s="81" t="s">
        <v>1235</v>
      </c>
    </row>
    <row r="415" spans="1:15" ht="15">
      <c r="A415" s="66" t="s">
        <v>194</v>
      </c>
      <c r="B415" s="66" t="s">
        <v>470</v>
      </c>
      <c r="C415" s="67"/>
      <c r="D415" s="68"/>
      <c r="E415" s="69"/>
      <c r="F415" s="70"/>
      <c r="G415" s="67"/>
      <c r="H415" s="71"/>
      <c r="I415" s="72"/>
      <c r="J415" s="72"/>
      <c r="K415" s="36"/>
      <c r="L415" s="79">
        <v>415</v>
      </c>
      <c r="M415" s="79"/>
      <c r="N415" s="74"/>
      <c r="O415" s="81" t="s">
        <v>1235</v>
      </c>
    </row>
    <row r="416" spans="1:15" ht="15">
      <c r="A416" s="66" t="s">
        <v>194</v>
      </c>
      <c r="B416" s="66" t="s">
        <v>227</v>
      </c>
      <c r="C416" s="67"/>
      <c r="D416" s="68"/>
      <c r="E416" s="69"/>
      <c r="F416" s="70"/>
      <c r="G416" s="67"/>
      <c r="H416" s="71"/>
      <c r="I416" s="72"/>
      <c r="J416" s="72"/>
      <c r="K416" s="36"/>
      <c r="L416" s="79">
        <v>416</v>
      </c>
      <c r="M416" s="79"/>
      <c r="N416" s="74"/>
      <c r="O416" s="81" t="s">
        <v>1235</v>
      </c>
    </row>
    <row r="417" spans="1:15" ht="15">
      <c r="A417" s="66" t="s">
        <v>194</v>
      </c>
      <c r="B417" s="66" t="s">
        <v>527</v>
      </c>
      <c r="C417" s="67"/>
      <c r="D417" s="68"/>
      <c r="E417" s="69"/>
      <c r="F417" s="70"/>
      <c r="G417" s="67"/>
      <c r="H417" s="71"/>
      <c r="I417" s="72"/>
      <c r="J417" s="72"/>
      <c r="K417" s="36"/>
      <c r="L417" s="79">
        <v>417</v>
      </c>
      <c r="M417" s="79"/>
      <c r="N417" s="74"/>
      <c r="O417" s="81" t="s">
        <v>1235</v>
      </c>
    </row>
    <row r="418" spans="1:15" ht="15">
      <c r="A418" s="66" t="s">
        <v>194</v>
      </c>
      <c r="B418" s="66" t="s">
        <v>528</v>
      </c>
      <c r="C418" s="67"/>
      <c r="D418" s="68"/>
      <c r="E418" s="69"/>
      <c r="F418" s="70"/>
      <c r="G418" s="67"/>
      <c r="H418" s="71"/>
      <c r="I418" s="72"/>
      <c r="J418" s="72"/>
      <c r="K418" s="36"/>
      <c r="L418" s="79">
        <v>418</v>
      </c>
      <c r="M418" s="79"/>
      <c r="N418" s="74"/>
      <c r="O418" s="81" t="s">
        <v>1235</v>
      </c>
    </row>
    <row r="419" spans="1:15" ht="15">
      <c r="A419" s="66" t="s">
        <v>194</v>
      </c>
      <c r="B419" s="66" t="s">
        <v>180</v>
      </c>
      <c r="C419" s="67"/>
      <c r="D419" s="68"/>
      <c r="E419" s="69"/>
      <c r="F419" s="70"/>
      <c r="G419" s="67"/>
      <c r="H419" s="71"/>
      <c r="I419" s="72"/>
      <c r="J419" s="72"/>
      <c r="K419" s="36"/>
      <c r="L419" s="79">
        <v>419</v>
      </c>
      <c r="M419" s="79"/>
      <c r="N419" s="74"/>
      <c r="O419" s="81" t="s">
        <v>1235</v>
      </c>
    </row>
    <row r="420" spans="1:15" ht="15">
      <c r="A420" s="66" t="s">
        <v>194</v>
      </c>
      <c r="B420" s="66" t="s">
        <v>529</v>
      </c>
      <c r="C420" s="67"/>
      <c r="D420" s="68"/>
      <c r="E420" s="69"/>
      <c r="F420" s="70"/>
      <c r="G420" s="67"/>
      <c r="H420" s="71"/>
      <c r="I420" s="72"/>
      <c r="J420" s="72"/>
      <c r="K420" s="36"/>
      <c r="L420" s="79">
        <v>420</v>
      </c>
      <c r="M420" s="79"/>
      <c r="N420" s="74"/>
      <c r="O420" s="81" t="s">
        <v>1235</v>
      </c>
    </row>
    <row r="421" spans="1:15" ht="15">
      <c r="A421" s="66" t="s">
        <v>194</v>
      </c>
      <c r="B421" s="66" t="s">
        <v>477</v>
      </c>
      <c r="C421" s="67"/>
      <c r="D421" s="68"/>
      <c r="E421" s="69"/>
      <c r="F421" s="70"/>
      <c r="G421" s="67"/>
      <c r="H421" s="71"/>
      <c r="I421" s="72"/>
      <c r="J421" s="72"/>
      <c r="K421" s="36"/>
      <c r="L421" s="79">
        <v>421</v>
      </c>
      <c r="M421" s="79"/>
      <c r="N421" s="74"/>
      <c r="O421" s="81" t="s">
        <v>1235</v>
      </c>
    </row>
    <row r="422" spans="1:15" ht="15">
      <c r="A422" s="66" t="s">
        <v>194</v>
      </c>
      <c r="B422" s="66" t="s">
        <v>224</v>
      </c>
      <c r="C422" s="67"/>
      <c r="D422" s="68"/>
      <c r="E422" s="69"/>
      <c r="F422" s="70"/>
      <c r="G422" s="67"/>
      <c r="H422" s="71"/>
      <c r="I422" s="72"/>
      <c r="J422" s="72"/>
      <c r="K422" s="36"/>
      <c r="L422" s="79">
        <v>422</v>
      </c>
      <c r="M422" s="79"/>
      <c r="N422" s="74"/>
      <c r="O422" s="81" t="s">
        <v>1235</v>
      </c>
    </row>
    <row r="423" spans="1:15" ht="15">
      <c r="A423" s="66" t="s">
        <v>195</v>
      </c>
      <c r="B423" s="66" t="s">
        <v>530</v>
      </c>
      <c r="C423" s="67"/>
      <c r="D423" s="68"/>
      <c r="E423" s="69"/>
      <c r="F423" s="70"/>
      <c r="G423" s="67"/>
      <c r="H423" s="71"/>
      <c r="I423" s="72"/>
      <c r="J423" s="72"/>
      <c r="K423" s="36"/>
      <c r="L423" s="79">
        <v>423</v>
      </c>
      <c r="M423" s="79"/>
      <c r="N423" s="74"/>
      <c r="O423" s="81" t="s">
        <v>1235</v>
      </c>
    </row>
    <row r="424" spans="1:15" ht="15">
      <c r="A424" s="66" t="s">
        <v>195</v>
      </c>
      <c r="B424" s="66" t="s">
        <v>531</v>
      </c>
      <c r="C424" s="67"/>
      <c r="D424" s="68"/>
      <c r="E424" s="69"/>
      <c r="F424" s="70"/>
      <c r="G424" s="67"/>
      <c r="H424" s="71"/>
      <c r="I424" s="72"/>
      <c r="J424" s="72"/>
      <c r="K424" s="36"/>
      <c r="L424" s="79">
        <v>424</v>
      </c>
      <c r="M424" s="79"/>
      <c r="N424" s="74"/>
      <c r="O424" s="81" t="s">
        <v>1235</v>
      </c>
    </row>
    <row r="425" spans="1:15" ht="15">
      <c r="A425" s="66" t="s">
        <v>195</v>
      </c>
      <c r="B425" s="66" t="s">
        <v>532</v>
      </c>
      <c r="C425" s="67"/>
      <c r="D425" s="68"/>
      <c r="E425" s="69"/>
      <c r="F425" s="70"/>
      <c r="G425" s="67"/>
      <c r="H425" s="71"/>
      <c r="I425" s="72"/>
      <c r="J425" s="72"/>
      <c r="K425" s="36"/>
      <c r="L425" s="79">
        <v>425</v>
      </c>
      <c r="M425" s="79"/>
      <c r="N425" s="74"/>
      <c r="O425" s="81" t="s">
        <v>1235</v>
      </c>
    </row>
    <row r="426" spans="1:15" ht="15">
      <c r="A426" s="66" t="s">
        <v>195</v>
      </c>
      <c r="B426" s="66" t="s">
        <v>533</v>
      </c>
      <c r="C426" s="67"/>
      <c r="D426" s="68"/>
      <c r="E426" s="69"/>
      <c r="F426" s="70"/>
      <c r="G426" s="67"/>
      <c r="H426" s="71"/>
      <c r="I426" s="72"/>
      <c r="J426" s="72"/>
      <c r="K426" s="36"/>
      <c r="L426" s="79">
        <v>426</v>
      </c>
      <c r="M426" s="79"/>
      <c r="N426" s="74"/>
      <c r="O426" s="81" t="s">
        <v>1235</v>
      </c>
    </row>
    <row r="427" spans="1:15" ht="15">
      <c r="A427" s="66" t="s">
        <v>195</v>
      </c>
      <c r="B427" s="66" t="s">
        <v>534</v>
      </c>
      <c r="C427" s="67"/>
      <c r="D427" s="68"/>
      <c r="E427" s="69"/>
      <c r="F427" s="70"/>
      <c r="G427" s="67"/>
      <c r="H427" s="71"/>
      <c r="I427" s="72"/>
      <c r="J427" s="72"/>
      <c r="K427" s="36"/>
      <c r="L427" s="79">
        <v>427</v>
      </c>
      <c r="M427" s="79"/>
      <c r="N427" s="74"/>
      <c r="O427" s="81" t="s">
        <v>1235</v>
      </c>
    </row>
    <row r="428" spans="1:15" ht="15">
      <c r="A428" s="66" t="s">
        <v>195</v>
      </c>
      <c r="B428" s="66" t="s">
        <v>535</v>
      </c>
      <c r="C428" s="67"/>
      <c r="D428" s="68"/>
      <c r="E428" s="69"/>
      <c r="F428" s="70"/>
      <c r="G428" s="67"/>
      <c r="H428" s="71"/>
      <c r="I428" s="72"/>
      <c r="J428" s="72"/>
      <c r="K428" s="36"/>
      <c r="L428" s="79">
        <v>428</v>
      </c>
      <c r="M428" s="79"/>
      <c r="N428" s="74"/>
      <c r="O428" s="81" t="s">
        <v>1235</v>
      </c>
    </row>
    <row r="429" spans="1:15" ht="15">
      <c r="A429" s="66" t="s">
        <v>195</v>
      </c>
      <c r="B429" s="66" t="s">
        <v>536</v>
      </c>
      <c r="C429" s="67"/>
      <c r="D429" s="68"/>
      <c r="E429" s="69"/>
      <c r="F429" s="70"/>
      <c r="G429" s="67"/>
      <c r="H429" s="71"/>
      <c r="I429" s="72"/>
      <c r="J429" s="72"/>
      <c r="K429" s="36"/>
      <c r="L429" s="79">
        <v>429</v>
      </c>
      <c r="M429" s="79"/>
      <c r="N429" s="74"/>
      <c r="O429" s="81" t="s">
        <v>1235</v>
      </c>
    </row>
    <row r="430" spans="1:15" ht="15">
      <c r="A430" s="66" t="s">
        <v>195</v>
      </c>
      <c r="B430" s="66" t="s">
        <v>537</v>
      </c>
      <c r="C430" s="67"/>
      <c r="D430" s="68"/>
      <c r="E430" s="69"/>
      <c r="F430" s="70"/>
      <c r="G430" s="67"/>
      <c r="H430" s="71"/>
      <c r="I430" s="72"/>
      <c r="J430" s="72"/>
      <c r="K430" s="36"/>
      <c r="L430" s="79">
        <v>430</v>
      </c>
      <c r="M430" s="79"/>
      <c r="N430" s="74"/>
      <c r="O430" s="81" t="s">
        <v>1235</v>
      </c>
    </row>
    <row r="431" spans="1:15" ht="15">
      <c r="A431" s="66" t="s">
        <v>195</v>
      </c>
      <c r="B431" s="66" t="s">
        <v>538</v>
      </c>
      <c r="C431" s="67"/>
      <c r="D431" s="68"/>
      <c r="E431" s="69"/>
      <c r="F431" s="70"/>
      <c r="G431" s="67"/>
      <c r="H431" s="71"/>
      <c r="I431" s="72"/>
      <c r="J431" s="72"/>
      <c r="K431" s="36"/>
      <c r="L431" s="79">
        <v>431</v>
      </c>
      <c r="M431" s="79"/>
      <c r="N431" s="74"/>
      <c r="O431" s="81" t="s">
        <v>1235</v>
      </c>
    </row>
    <row r="432" spans="1:15" ht="15">
      <c r="A432" s="66" t="s">
        <v>195</v>
      </c>
      <c r="B432" s="66" t="s">
        <v>387</v>
      </c>
      <c r="C432" s="67"/>
      <c r="D432" s="68"/>
      <c r="E432" s="69"/>
      <c r="F432" s="70"/>
      <c r="G432" s="67"/>
      <c r="H432" s="71"/>
      <c r="I432" s="72"/>
      <c r="J432" s="72"/>
      <c r="K432" s="36"/>
      <c r="L432" s="79">
        <v>432</v>
      </c>
      <c r="M432" s="79"/>
      <c r="N432" s="74"/>
      <c r="O432" s="81" t="s">
        <v>1235</v>
      </c>
    </row>
    <row r="433" spans="1:15" ht="15">
      <c r="A433" s="66" t="s">
        <v>195</v>
      </c>
      <c r="B433" s="66" t="s">
        <v>539</v>
      </c>
      <c r="C433" s="67"/>
      <c r="D433" s="68"/>
      <c r="E433" s="69"/>
      <c r="F433" s="70"/>
      <c r="G433" s="67"/>
      <c r="H433" s="71"/>
      <c r="I433" s="72"/>
      <c r="J433" s="72"/>
      <c r="K433" s="36"/>
      <c r="L433" s="79">
        <v>433</v>
      </c>
      <c r="M433" s="79"/>
      <c r="N433" s="74"/>
      <c r="O433" s="81" t="s">
        <v>1235</v>
      </c>
    </row>
    <row r="434" spans="1:15" ht="15">
      <c r="A434" s="66" t="s">
        <v>195</v>
      </c>
      <c r="B434" s="66" t="s">
        <v>540</v>
      </c>
      <c r="C434" s="67"/>
      <c r="D434" s="68"/>
      <c r="E434" s="69"/>
      <c r="F434" s="70"/>
      <c r="G434" s="67"/>
      <c r="H434" s="71"/>
      <c r="I434" s="72"/>
      <c r="J434" s="72"/>
      <c r="K434" s="36"/>
      <c r="L434" s="79">
        <v>434</v>
      </c>
      <c r="M434" s="79"/>
      <c r="N434" s="74"/>
      <c r="O434" s="81" t="s">
        <v>1235</v>
      </c>
    </row>
    <row r="435" spans="1:15" ht="15">
      <c r="A435" s="66" t="s">
        <v>195</v>
      </c>
      <c r="B435" s="66" t="s">
        <v>541</v>
      </c>
      <c r="C435" s="67"/>
      <c r="D435" s="68"/>
      <c r="E435" s="69"/>
      <c r="F435" s="70"/>
      <c r="G435" s="67"/>
      <c r="H435" s="71"/>
      <c r="I435" s="72"/>
      <c r="J435" s="72"/>
      <c r="K435" s="36"/>
      <c r="L435" s="79">
        <v>435</v>
      </c>
      <c r="M435" s="79"/>
      <c r="N435" s="74"/>
      <c r="O435" s="81" t="s">
        <v>1235</v>
      </c>
    </row>
    <row r="436" spans="1:15" ht="15">
      <c r="A436" s="66" t="s">
        <v>195</v>
      </c>
      <c r="B436" s="66" t="s">
        <v>542</v>
      </c>
      <c r="C436" s="67"/>
      <c r="D436" s="68"/>
      <c r="E436" s="69"/>
      <c r="F436" s="70"/>
      <c r="G436" s="67"/>
      <c r="H436" s="71"/>
      <c r="I436" s="72"/>
      <c r="J436" s="72"/>
      <c r="K436" s="36"/>
      <c r="L436" s="79">
        <v>436</v>
      </c>
      <c r="M436" s="79"/>
      <c r="N436" s="74"/>
      <c r="O436" s="81" t="s">
        <v>1235</v>
      </c>
    </row>
    <row r="437" spans="1:15" ht="15">
      <c r="A437" s="66" t="s">
        <v>195</v>
      </c>
      <c r="B437" s="66" t="s">
        <v>543</v>
      </c>
      <c r="C437" s="67"/>
      <c r="D437" s="68"/>
      <c r="E437" s="69"/>
      <c r="F437" s="70"/>
      <c r="G437" s="67"/>
      <c r="H437" s="71"/>
      <c r="I437" s="72"/>
      <c r="J437" s="72"/>
      <c r="K437" s="36"/>
      <c r="L437" s="79">
        <v>437</v>
      </c>
      <c r="M437" s="79"/>
      <c r="N437" s="74"/>
      <c r="O437" s="81" t="s">
        <v>1235</v>
      </c>
    </row>
    <row r="438" spans="1:15" ht="15">
      <c r="A438" s="66" t="s">
        <v>195</v>
      </c>
      <c r="B438" s="66" t="s">
        <v>544</v>
      </c>
      <c r="C438" s="67"/>
      <c r="D438" s="68"/>
      <c r="E438" s="69"/>
      <c r="F438" s="70"/>
      <c r="G438" s="67"/>
      <c r="H438" s="71"/>
      <c r="I438" s="72"/>
      <c r="J438" s="72"/>
      <c r="K438" s="36"/>
      <c r="L438" s="79">
        <v>438</v>
      </c>
      <c r="M438" s="79"/>
      <c r="N438" s="74"/>
      <c r="O438" s="81" t="s">
        <v>1235</v>
      </c>
    </row>
    <row r="439" spans="1:15" ht="15">
      <c r="A439" s="66" t="s">
        <v>195</v>
      </c>
      <c r="B439" s="66" t="s">
        <v>545</v>
      </c>
      <c r="C439" s="67"/>
      <c r="D439" s="68"/>
      <c r="E439" s="69"/>
      <c r="F439" s="70"/>
      <c r="G439" s="67"/>
      <c r="H439" s="71"/>
      <c r="I439" s="72"/>
      <c r="J439" s="72"/>
      <c r="K439" s="36"/>
      <c r="L439" s="79">
        <v>439</v>
      </c>
      <c r="M439" s="79"/>
      <c r="N439" s="74"/>
      <c r="O439" s="81" t="s">
        <v>1235</v>
      </c>
    </row>
    <row r="440" spans="1:15" ht="15">
      <c r="A440" s="66" t="s">
        <v>195</v>
      </c>
      <c r="B440" s="66" t="s">
        <v>546</v>
      </c>
      <c r="C440" s="67"/>
      <c r="D440" s="68"/>
      <c r="E440" s="69"/>
      <c r="F440" s="70"/>
      <c r="G440" s="67"/>
      <c r="H440" s="71"/>
      <c r="I440" s="72"/>
      <c r="J440" s="72"/>
      <c r="K440" s="36"/>
      <c r="L440" s="79">
        <v>440</v>
      </c>
      <c r="M440" s="79"/>
      <c r="N440" s="74"/>
      <c r="O440" s="81" t="s">
        <v>1235</v>
      </c>
    </row>
    <row r="441" spans="1:15" ht="15">
      <c r="A441" s="66" t="s">
        <v>195</v>
      </c>
      <c r="B441" s="66" t="s">
        <v>547</v>
      </c>
      <c r="C441" s="67"/>
      <c r="D441" s="68"/>
      <c r="E441" s="69"/>
      <c r="F441" s="70"/>
      <c r="G441" s="67"/>
      <c r="H441" s="71"/>
      <c r="I441" s="72"/>
      <c r="J441" s="72"/>
      <c r="K441" s="36"/>
      <c r="L441" s="79">
        <v>441</v>
      </c>
      <c r="M441" s="79"/>
      <c r="N441" s="74"/>
      <c r="O441" s="81" t="s">
        <v>1235</v>
      </c>
    </row>
    <row r="442" spans="1:15" ht="15">
      <c r="A442" s="66" t="s">
        <v>195</v>
      </c>
      <c r="B442" s="66" t="s">
        <v>548</v>
      </c>
      <c r="C442" s="67"/>
      <c r="D442" s="68"/>
      <c r="E442" s="69"/>
      <c r="F442" s="70"/>
      <c r="G442" s="67"/>
      <c r="H442" s="71"/>
      <c r="I442" s="72"/>
      <c r="J442" s="72"/>
      <c r="K442" s="36"/>
      <c r="L442" s="79">
        <v>442</v>
      </c>
      <c r="M442" s="79"/>
      <c r="N442" s="74"/>
      <c r="O442" s="81" t="s">
        <v>1235</v>
      </c>
    </row>
    <row r="443" spans="1:15" ht="15">
      <c r="A443" s="66" t="s">
        <v>195</v>
      </c>
      <c r="B443" s="66" t="s">
        <v>549</v>
      </c>
      <c r="C443" s="67"/>
      <c r="D443" s="68"/>
      <c r="E443" s="69"/>
      <c r="F443" s="70"/>
      <c r="G443" s="67"/>
      <c r="H443" s="71"/>
      <c r="I443" s="72"/>
      <c r="J443" s="72"/>
      <c r="K443" s="36"/>
      <c r="L443" s="79">
        <v>443</v>
      </c>
      <c r="M443" s="79"/>
      <c r="N443" s="74"/>
      <c r="O443" s="81" t="s">
        <v>1235</v>
      </c>
    </row>
    <row r="444" spans="1:15" ht="15">
      <c r="A444" s="66" t="s">
        <v>195</v>
      </c>
      <c r="B444" s="66" t="s">
        <v>550</v>
      </c>
      <c r="C444" s="67"/>
      <c r="D444" s="68"/>
      <c r="E444" s="69"/>
      <c r="F444" s="70"/>
      <c r="G444" s="67"/>
      <c r="H444" s="71"/>
      <c r="I444" s="72"/>
      <c r="J444" s="72"/>
      <c r="K444" s="36"/>
      <c r="L444" s="79">
        <v>444</v>
      </c>
      <c r="M444" s="79"/>
      <c r="N444" s="74"/>
      <c r="O444" s="81" t="s">
        <v>1235</v>
      </c>
    </row>
    <row r="445" spans="1:15" ht="15">
      <c r="A445" s="66" t="s">
        <v>195</v>
      </c>
      <c r="B445" s="66" t="s">
        <v>551</v>
      </c>
      <c r="C445" s="67"/>
      <c r="D445" s="68"/>
      <c r="E445" s="69"/>
      <c r="F445" s="70"/>
      <c r="G445" s="67"/>
      <c r="H445" s="71"/>
      <c r="I445" s="72"/>
      <c r="J445" s="72"/>
      <c r="K445" s="36"/>
      <c r="L445" s="79">
        <v>445</v>
      </c>
      <c r="M445" s="79"/>
      <c r="N445" s="74"/>
      <c r="O445" s="81" t="s">
        <v>1235</v>
      </c>
    </row>
    <row r="446" spans="1:15" ht="15">
      <c r="A446" s="66" t="s">
        <v>195</v>
      </c>
      <c r="B446" s="66" t="s">
        <v>552</v>
      </c>
      <c r="C446" s="67"/>
      <c r="D446" s="68"/>
      <c r="E446" s="69"/>
      <c r="F446" s="70"/>
      <c r="G446" s="67"/>
      <c r="H446" s="71"/>
      <c r="I446" s="72"/>
      <c r="J446" s="72"/>
      <c r="K446" s="36"/>
      <c r="L446" s="79">
        <v>446</v>
      </c>
      <c r="M446" s="79"/>
      <c r="N446" s="74"/>
      <c r="O446" s="81" t="s">
        <v>1235</v>
      </c>
    </row>
    <row r="447" spans="1:15" ht="15">
      <c r="A447" s="66" t="s">
        <v>195</v>
      </c>
      <c r="B447" s="66" t="s">
        <v>553</v>
      </c>
      <c r="C447" s="67"/>
      <c r="D447" s="68"/>
      <c r="E447" s="69"/>
      <c r="F447" s="70"/>
      <c r="G447" s="67"/>
      <c r="H447" s="71"/>
      <c r="I447" s="72"/>
      <c r="J447" s="72"/>
      <c r="K447" s="36"/>
      <c r="L447" s="79">
        <v>447</v>
      </c>
      <c r="M447" s="79"/>
      <c r="N447" s="74"/>
      <c r="O447" s="81" t="s">
        <v>1235</v>
      </c>
    </row>
    <row r="448" spans="1:15" ht="15">
      <c r="A448" s="66" t="s">
        <v>195</v>
      </c>
      <c r="B448" s="66" t="s">
        <v>554</v>
      </c>
      <c r="C448" s="67"/>
      <c r="D448" s="68"/>
      <c r="E448" s="69"/>
      <c r="F448" s="70"/>
      <c r="G448" s="67"/>
      <c r="H448" s="71"/>
      <c r="I448" s="72"/>
      <c r="J448" s="72"/>
      <c r="K448" s="36"/>
      <c r="L448" s="79">
        <v>448</v>
      </c>
      <c r="M448" s="79"/>
      <c r="N448" s="74"/>
      <c r="O448" s="81" t="s">
        <v>1235</v>
      </c>
    </row>
    <row r="449" spans="1:15" ht="15">
      <c r="A449" s="66" t="s">
        <v>195</v>
      </c>
      <c r="B449" s="66" t="s">
        <v>555</v>
      </c>
      <c r="C449" s="67"/>
      <c r="D449" s="68"/>
      <c r="E449" s="69"/>
      <c r="F449" s="70"/>
      <c r="G449" s="67"/>
      <c r="H449" s="71"/>
      <c r="I449" s="72"/>
      <c r="J449" s="72"/>
      <c r="K449" s="36"/>
      <c r="L449" s="79">
        <v>449</v>
      </c>
      <c r="M449" s="79"/>
      <c r="N449" s="74"/>
      <c r="O449" s="81" t="s">
        <v>1235</v>
      </c>
    </row>
    <row r="450" spans="1:15" ht="15">
      <c r="A450" s="66" t="s">
        <v>195</v>
      </c>
      <c r="B450" s="66" t="s">
        <v>556</v>
      </c>
      <c r="C450" s="67"/>
      <c r="D450" s="68"/>
      <c r="E450" s="69"/>
      <c r="F450" s="70"/>
      <c r="G450" s="67"/>
      <c r="H450" s="71"/>
      <c r="I450" s="72"/>
      <c r="J450" s="72"/>
      <c r="K450" s="36"/>
      <c r="L450" s="79">
        <v>450</v>
      </c>
      <c r="M450" s="79"/>
      <c r="N450" s="74"/>
      <c r="O450" s="81" t="s">
        <v>1235</v>
      </c>
    </row>
    <row r="451" spans="1:15" ht="15">
      <c r="A451" s="66" t="s">
        <v>195</v>
      </c>
      <c r="B451" s="66" t="s">
        <v>557</v>
      </c>
      <c r="C451" s="67"/>
      <c r="D451" s="68"/>
      <c r="E451" s="69"/>
      <c r="F451" s="70"/>
      <c r="G451" s="67"/>
      <c r="H451" s="71"/>
      <c r="I451" s="72"/>
      <c r="J451" s="72"/>
      <c r="K451" s="36"/>
      <c r="L451" s="79">
        <v>451</v>
      </c>
      <c r="M451" s="79"/>
      <c r="N451" s="74"/>
      <c r="O451" s="81" t="s">
        <v>1235</v>
      </c>
    </row>
    <row r="452" spans="1:15" ht="15">
      <c r="A452" s="66" t="s">
        <v>196</v>
      </c>
      <c r="B452" s="66" t="s">
        <v>558</v>
      </c>
      <c r="C452" s="67"/>
      <c r="D452" s="68"/>
      <c r="E452" s="69"/>
      <c r="F452" s="70"/>
      <c r="G452" s="67"/>
      <c r="H452" s="71"/>
      <c r="I452" s="72"/>
      <c r="J452" s="72"/>
      <c r="K452" s="36"/>
      <c r="L452" s="79">
        <v>452</v>
      </c>
      <c r="M452" s="79"/>
      <c r="N452" s="74"/>
      <c r="O452" s="81" t="s">
        <v>1235</v>
      </c>
    </row>
    <row r="453" spans="1:15" ht="15">
      <c r="A453" s="66" t="s">
        <v>196</v>
      </c>
      <c r="B453" s="66" t="s">
        <v>559</v>
      </c>
      <c r="C453" s="67"/>
      <c r="D453" s="68"/>
      <c r="E453" s="69"/>
      <c r="F453" s="70"/>
      <c r="G453" s="67"/>
      <c r="H453" s="71"/>
      <c r="I453" s="72"/>
      <c r="J453" s="72"/>
      <c r="K453" s="36"/>
      <c r="L453" s="79">
        <v>453</v>
      </c>
      <c r="M453" s="79"/>
      <c r="N453" s="74"/>
      <c r="O453" s="81" t="s">
        <v>1235</v>
      </c>
    </row>
    <row r="454" spans="1:15" ht="15">
      <c r="A454" s="66" t="s">
        <v>196</v>
      </c>
      <c r="B454" s="66" t="s">
        <v>560</v>
      </c>
      <c r="C454" s="67"/>
      <c r="D454" s="68"/>
      <c r="E454" s="69"/>
      <c r="F454" s="70"/>
      <c r="G454" s="67"/>
      <c r="H454" s="71"/>
      <c r="I454" s="72"/>
      <c r="J454" s="72"/>
      <c r="K454" s="36"/>
      <c r="L454" s="79">
        <v>454</v>
      </c>
      <c r="M454" s="79"/>
      <c r="N454" s="74"/>
      <c r="O454" s="81" t="s">
        <v>1235</v>
      </c>
    </row>
    <row r="455" spans="1:15" ht="15">
      <c r="A455" s="66" t="s">
        <v>196</v>
      </c>
      <c r="B455" s="66" t="s">
        <v>351</v>
      </c>
      <c r="C455" s="67"/>
      <c r="D455" s="68"/>
      <c r="E455" s="69"/>
      <c r="F455" s="70"/>
      <c r="G455" s="67"/>
      <c r="H455" s="71"/>
      <c r="I455" s="72"/>
      <c r="J455" s="72"/>
      <c r="K455" s="36"/>
      <c r="L455" s="79">
        <v>455</v>
      </c>
      <c r="M455" s="79"/>
      <c r="N455" s="74"/>
      <c r="O455" s="81" t="s">
        <v>1235</v>
      </c>
    </row>
    <row r="456" spans="1:15" ht="15">
      <c r="A456" s="66" t="s">
        <v>196</v>
      </c>
      <c r="B456" s="66" t="s">
        <v>561</v>
      </c>
      <c r="C456" s="67"/>
      <c r="D456" s="68"/>
      <c r="E456" s="69"/>
      <c r="F456" s="70"/>
      <c r="G456" s="67"/>
      <c r="H456" s="71"/>
      <c r="I456" s="72"/>
      <c r="J456" s="72"/>
      <c r="K456" s="36"/>
      <c r="L456" s="79">
        <v>456</v>
      </c>
      <c r="M456" s="79"/>
      <c r="N456" s="74"/>
      <c r="O456" s="81" t="s">
        <v>1235</v>
      </c>
    </row>
    <row r="457" spans="1:15" ht="15">
      <c r="A457" s="66" t="s">
        <v>179</v>
      </c>
      <c r="B457" s="66" t="s">
        <v>562</v>
      </c>
      <c r="C457" s="67"/>
      <c r="D457" s="68"/>
      <c r="E457" s="69"/>
      <c r="F457" s="70"/>
      <c r="G457" s="67"/>
      <c r="H457" s="71"/>
      <c r="I457" s="72"/>
      <c r="J457" s="72"/>
      <c r="K457" s="36"/>
      <c r="L457" s="79">
        <v>457</v>
      </c>
      <c r="M457" s="79"/>
      <c r="N457" s="74"/>
      <c r="O457" s="81" t="s">
        <v>1235</v>
      </c>
    </row>
    <row r="458" spans="1:15" ht="15">
      <c r="A458" s="66" t="s">
        <v>196</v>
      </c>
      <c r="B458" s="66" t="s">
        <v>562</v>
      </c>
      <c r="C458" s="67"/>
      <c r="D458" s="68"/>
      <c r="E458" s="69"/>
      <c r="F458" s="70"/>
      <c r="G458" s="67"/>
      <c r="H458" s="71"/>
      <c r="I458" s="72"/>
      <c r="J458" s="72"/>
      <c r="K458" s="36"/>
      <c r="L458" s="79">
        <v>458</v>
      </c>
      <c r="M458" s="79"/>
      <c r="N458" s="74"/>
      <c r="O458" s="81" t="s">
        <v>1235</v>
      </c>
    </row>
    <row r="459" spans="1:15" ht="15">
      <c r="A459" s="66" t="s">
        <v>196</v>
      </c>
      <c r="B459" s="66" t="s">
        <v>563</v>
      </c>
      <c r="C459" s="67"/>
      <c r="D459" s="68"/>
      <c r="E459" s="69"/>
      <c r="F459" s="70"/>
      <c r="G459" s="67"/>
      <c r="H459" s="71"/>
      <c r="I459" s="72"/>
      <c r="J459" s="72"/>
      <c r="K459" s="36"/>
      <c r="L459" s="79">
        <v>459</v>
      </c>
      <c r="M459" s="79"/>
      <c r="N459" s="74"/>
      <c r="O459" s="81" t="s">
        <v>1235</v>
      </c>
    </row>
    <row r="460" spans="1:15" ht="15">
      <c r="A460" s="66" t="s">
        <v>196</v>
      </c>
      <c r="B460" s="66" t="s">
        <v>348</v>
      </c>
      <c r="C460" s="67"/>
      <c r="D460" s="68"/>
      <c r="E460" s="69"/>
      <c r="F460" s="70"/>
      <c r="G460" s="67"/>
      <c r="H460" s="71"/>
      <c r="I460" s="72"/>
      <c r="J460" s="72"/>
      <c r="K460" s="36"/>
      <c r="L460" s="79">
        <v>460</v>
      </c>
      <c r="M460" s="79"/>
      <c r="N460" s="74"/>
      <c r="O460" s="81" t="s">
        <v>1235</v>
      </c>
    </row>
    <row r="461" spans="1:15" ht="15">
      <c r="A461" s="66" t="s">
        <v>196</v>
      </c>
      <c r="B461" s="66" t="s">
        <v>343</v>
      </c>
      <c r="C461" s="67"/>
      <c r="D461" s="68"/>
      <c r="E461" s="69"/>
      <c r="F461" s="70"/>
      <c r="G461" s="67"/>
      <c r="H461" s="71"/>
      <c r="I461" s="72"/>
      <c r="J461" s="72"/>
      <c r="K461" s="36"/>
      <c r="L461" s="79">
        <v>461</v>
      </c>
      <c r="M461" s="79"/>
      <c r="N461" s="74"/>
      <c r="O461" s="81" t="s">
        <v>1235</v>
      </c>
    </row>
    <row r="462" spans="1:15" ht="15">
      <c r="A462" s="66" t="s">
        <v>196</v>
      </c>
      <c r="B462" s="66" t="s">
        <v>564</v>
      </c>
      <c r="C462" s="67"/>
      <c r="D462" s="68"/>
      <c r="E462" s="69"/>
      <c r="F462" s="70"/>
      <c r="G462" s="67"/>
      <c r="H462" s="71"/>
      <c r="I462" s="72"/>
      <c r="J462" s="72"/>
      <c r="K462" s="36"/>
      <c r="L462" s="79">
        <v>462</v>
      </c>
      <c r="M462" s="79"/>
      <c r="N462" s="74"/>
      <c r="O462" s="81" t="s">
        <v>1235</v>
      </c>
    </row>
    <row r="463" spans="1:15" ht="15">
      <c r="A463" s="66" t="s">
        <v>196</v>
      </c>
      <c r="B463" s="66" t="s">
        <v>471</v>
      </c>
      <c r="C463" s="67"/>
      <c r="D463" s="68"/>
      <c r="E463" s="69"/>
      <c r="F463" s="70"/>
      <c r="G463" s="67"/>
      <c r="H463" s="71"/>
      <c r="I463" s="72"/>
      <c r="J463" s="72"/>
      <c r="K463" s="36"/>
      <c r="L463" s="79">
        <v>463</v>
      </c>
      <c r="M463" s="79"/>
      <c r="N463" s="74"/>
      <c r="O463" s="81" t="s">
        <v>1235</v>
      </c>
    </row>
    <row r="464" spans="1:15" ht="15">
      <c r="A464" s="66" t="s">
        <v>196</v>
      </c>
      <c r="B464" s="66" t="s">
        <v>565</v>
      </c>
      <c r="C464" s="67"/>
      <c r="D464" s="68"/>
      <c r="E464" s="69"/>
      <c r="F464" s="70"/>
      <c r="G464" s="67"/>
      <c r="H464" s="71"/>
      <c r="I464" s="72"/>
      <c r="J464" s="72"/>
      <c r="K464" s="36"/>
      <c r="L464" s="79">
        <v>464</v>
      </c>
      <c r="M464" s="79"/>
      <c r="N464" s="74"/>
      <c r="O464" s="81" t="s">
        <v>1235</v>
      </c>
    </row>
    <row r="465" spans="1:15" ht="15">
      <c r="A465" s="66" t="s">
        <v>196</v>
      </c>
      <c r="B465" s="66" t="s">
        <v>566</v>
      </c>
      <c r="C465" s="67"/>
      <c r="D465" s="68"/>
      <c r="E465" s="69"/>
      <c r="F465" s="70"/>
      <c r="G465" s="67"/>
      <c r="H465" s="71"/>
      <c r="I465" s="72"/>
      <c r="J465" s="72"/>
      <c r="K465" s="36"/>
      <c r="L465" s="79">
        <v>465</v>
      </c>
      <c r="M465" s="79"/>
      <c r="N465" s="74"/>
      <c r="O465" s="81" t="s">
        <v>1235</v>
      </c>
    </row>
    <row r="466" spans="1:15" ht="15">
      <c r="A466" s="66" t="s">
        <v>196</v>
      </c>
      <c r="B466" s="66" t="s">
        <v>291</v>
      </c>
      <c r="C466" s="67"/>
      <c r="D466" s="68"/>
      <c r="E466" s="69"/>
      <c r="F466" s="70"/>
      <c r="G466" s="67"/>
      <c r="H466" s="71"/>
      <c r="I466" s="72"/>
      <c r="J466" s="72"/>
      <c r="K466" s="36"/>
      <c r="L466" s="79">
        <v>466</v>
      </c>
      <c r="M466" s="79"/>
      <c r="N466" s="74"/>
      <c r="O466" s="81" t="s">
        <v>1235</v>
      </c>
    </row>
    <row r="467" spans="1:15" ht="15">
      <c r="A467" s="66" t="s">
        <v>196</v>
      </c>
      <c r="B467" s="66" t="s">
        <v>212</v>
      </c>
      <c r="C467" s="67"/>
      <c r="D467" s="68"/>
      <c r="E467" s="69"/>
      <c r="F467" s="70"/>
      <c r="G467" s="67"/>
      <c r="H467" s="71"/>
      <c r="I467" s="72"/>
      <c r="J467" s="72"/>
      <c r="K467" s="36"/>
      <c r="L467" s="79">
        <v>467</v>
      </c>
      <c r="M467" s="79"/>
      <c r="N467" s="74"/>
      <c r="O467" s="81" t="s">
        <v>1235</v>
      </c>
    </row>
    <row r="468" spans="1:15" ht="15">
      <c r="A468" s="66" t="s">
        <v>196</v>
      </c>
      <c r="B468" s="66" t="s">
        <v>223</v>
      </c>
      <c r="C468" s="67"/>
      <c r="D468" s="68"/>
      <c r="E468" s="69"/>
      <c r="F468" s="70"/>
      <c r="G468" s="67"/>
      <c r="H468" s="71"/>
      <c r="I468" s="72"/>
      <c r="J468" s="72"/>
      <c r="K468" s="36"/>
      <c r="L468" s="79">
        <v>468</v>
      </c>
      <c r="M468" s="79"/>
      <c r="N468" s="74"/>
      <c r="O468" s="81" t="s">
        <v>1235</v>
      </c>
    </row>
    <row r="469" spans="1:15" ht="15">
      <c r="A469" s="66" t="s">
        <v>196</v>
      </c>
      <c r="B469" s="66" t="s">
        <v>296</v>
      </c>
      <c r="C469" s="67"/>
      <c r="D469" s="68"/>
      <c r="E469" s="69"/>
      <c r="F469" s="70"/>
      <c r="G469" s="67"/>
      <c r="H469" s="71"/>
      <c r="I469" s="72"/>
      <c r="J469" s="72"/>
      <c r="K469" s="36"/>
      <c r="L469" s="79">
        <v>469</v>
      </c>
      <c r="M469" s="79"/>
      <c r="N469" s="74"/>
      <c r="O469" s="81" t="s">
        <v>1235</v>
      </c>
    </row>
    <row r="470" spans="1:15" ht="15">
      <c r="A470" s="66" t="s">
        <v>196</v>
      </c>
      <c r="B470" s="66" t="s">
        <v>221</v>
      </c>
      <c r="C470" s="67"/>
      <c r="D470" s="68"/>
      <c r="E470" s="69"/>
      <c r="F470" s="70"/>
      <c r="G470" s="67"/>
      <c r="H470" s="71"/>
      <c r="I470" s="72"/>
      <c r="J470" s="72"/>
      <c r="K470" s="36"/>
      <c r="L470" s="79">
        <v>470</v>
      </c>
      <c r="M470" s="79"/>
      <c r="N470" s="74"/>
      <c r="O470" s="81" t="s">
        <v>1235</v>
      </c>
    </row>
    <row r="471" spans="1:15" ht="15">
      <c r="A471" s="66" t="s">
        <v>196</v>
      </c>
      <c r="B471" s="66" t="s">
        <v>295</v>
      </c>
      <c r="C471" s="67"/>
      <c r="D471" s="68"/>
      <c r="E471" s="69"/>
      <c r="F471" s="70"/>
      <c r="G471" s="67"/>
      <c r="H471" s="71"/>
      <c r="I471" s="72"/>
      <c r="J471" s="72"/>
      <c r="K471" s="36"/>
      <c r="L471" s="79">
        <v>471</v>
      </c>
      <c r="M471" s="79"/>
      <c r="N471" s="74"/>
      <c r="O471" s="81" t="s">
        <v>1235</v>
      </c>
    </row>
    <row r="472" spans="1:15" ht="15">
      <c r="A472" s="66" t="s">
        <v>196</v>
      </c>
      <c r="B472" s="66" t="s">
        <v>287</v>
      </c>
      <c r="C472" s="67"/>
      <c r="D472" s="68"/>
      <c r="E472" s="69"/>
      <c r="F472" s="70"/>
      <c r="G472" s="67"/>
      <c r="H472" s="71"/>
      <c r="I472" s="72"/>
      <c r="J472" s="72"/>
      <c r="K472" s="36"/>
      <c r="L472" s="79">
        <v>472</v>
      </c>
      <c r="M472" s="79"/>
      <c r="N472" s="74"/>
      <c r="O472" s="81" t="s">
        <v>1235</v>
      </c>
    </row>
    <row r="473" spans="1:15" ht="15">
      <c r="A473" s="66" t="s">
        <v>196</v>
      </c>
      <c r="B473" s="66" t="s">
        <v>476</v>
      </c>
      <c r="C473" s="67"/>
      <c r="D473" s="68"/>
      <c r="E473" s="69"/>
      <c r="F473" s="70"/>
      <c r="G473" s="67"/>
      <c r="H473" s="71"/>
      <c r="I473" s="72"/>
      <c r="J473" s="72"/>
      <c r="K473" s="36"/>
      <c r="L473" s="79">
        <v>473</v>
      </c>
      <c r="M473" s="79"/>
      <c r="N473" s="74"/>
      <c r="O473" s="81" t="s">
        <v>1235</v>
      </c>
    </row>
    <row r="474" spans="1:15" ht="15">
      <c r="A474" s="66" t="s">
        <v>196</v>
      </c>
      <c r="B474" s="66" t="s">
        <v>567</v>
      </c>
      <c r="C474" s="67"/>
      <c r="D474" s="68"/>
      <c r="E474" s="69"/>
      <c r="F474" s="70"/>
      <c r="G474" s="67"/>
      <c r="H474" s="71"/>
      <c r="I474" s="72"/>
      <c r="J474" s="72"/>
      <c r="K474" s="36"/>
      <c r="L474" s="79">
        <v>474</v>
      </c>
      <c r="M474" s="79"/>
      <c r="N474" s="74"/>
      <c r="O474" s="81" t="s">
        <v>1235</v>
      </c>
    </row>
    <row r="475" spans="1:15" ht="15">
      <c r="A475" s="66" t="s">
        <v>196</v>
      </c>
      <c r="B475" s="66" t="s">
        <v>225</v>
      </c>
      <c r="C475" s="67"/>
      <c r="D475" s="68"/>
      <c r="E475" s="69"/>
      <c r="F475" s="70"/>
      <c r="G475" s="67"/>
      <c r="H475" s="71"/>
      <c r="I475" s="72"/>
      <c r="J475" s="72"/>
      <c r="K475" s="36"/>
      <c r="L475" s="79">
        <v>475</v>
      </c>
      <c r="M475" s="79"/>
      <c r="N475" s="74"/>
      <c r="O475" s="81" t="s">
        <v>1235</v>
      </c>
    </row>
    <row r="476" spans="1:15" ht="15">
      <c r="A476" s="66" t="s">
        <v>196</v>
      </c>
      <c r="B476" s="66" t="s">
        <v>568</v>
      </c>
      <c r="C476" s="67"/>
      <c r="D476" s="68"/>
      <c r="E476" s="69"/>
      <c r="F476" s="70"/>
      <c r="G476" s="67"/>
      <c r="H476" s="71"/>
      <c r="I476" s="72"/>
      <c r="J476" s="72"/>
      <c r="K476" s="36"/>
      <c r="L476" s="79">
        <v>476</v>
      </c>
      <c r="M476" s="79"/>
      <c r="N476" s="74"/>
      <c r="O476" s="81" t="s">
        <v>1235</v>
      </c>
    </row>
    <row r="477" spans="1:15" ht="15">
      <c r="A477" s="66" t="s">
        <v>196</v>
      </c>
      <c r="B477" s="66" t="s">
        <v>218</v>
      </c>
      <c r="C477" s="67"/>
      <c r="D477" s="68"/>
      <c r="E477" s="69"/>
      <c r="F477" s="70"/>
      <c r="G477" s="67"/>
      <c r="H477" s="71"/>
      <c r="I477" s="72"/>
      <c r="J477" s="72"/>
      <c r="K477" s="36"/>
      <c r="L477" s="79">
        <v>477</v>
      </c>
      <c r="M477" s="79"/>
      <c r="N477" s="74"/>
      <c r="O477" s="81" t="s">
        <v>1235</v>
      </c>
    </row>
    <row r="478" spans="1:15" ht="15">
      <c r="A478" s="66" t="s">
        <v>196</v>
      </c>
      <c r="B478" s="66" t="s">
        <v>484</v>
      </c>
      <c r="C478" s="67"/>
      <c r="D478" s="68"/>
      <c r="E478" s="69"/>
      <c r="F478" s="70"/>
      <c r="G478" s="67"/>
      <c r="H478" s="71"/>
      <c r="I478" s="72"/>
      <c r="J478" s="72"/>
      <c r="K478" s="36"/>
      <c r="L478" s="79">
        <v>478</v>
      </c>
      <c r="M478" s="79"/>
      <c r="N478" s="74"/>
      <c r="O478" s="81" t="s">
        <v>1235</v>
      </c>
    </row>
    <row r="479" spans="1:15" ht="15">
      <c r="A479" s="66" t="s">
        <v>196</v>
      </c>
      <c r="B479" s="66" t="s">
        <v>569</v>
      </c>
      <c r="C479" s="67"/>
      <c r="D479" s="68"/>
      <c r="E479" s="69"/>
      <c r="F479" s="70"/>
      <c r="G479" s="67"/>
      <c r="H479" s="71"/>
      <c r="I479" s="72"/>
      <c r="J479" s="72"/>
      <c r="K479" s="36"/>
      <c r="L479" s="79">
        <v>479</v>
      </c>
      <c r="M479" s="79"/>
      <c r="N479" s="74"/>
      <c r="O479" s="81" t="s">
        <v>1235</v>
      </c>
    </row>
    <row r="480" spans="1:15" ht="15">
      <c r="A480" s="66" t="s">
        <v>196</v>
      </c>
      <c r="B480" s="66" t="s">
        <v>227</v>
      </c>
      <c r="C480" s="67"/>
      <c r="D480" s="68"/>
      <c r="E480" s="69"/>
      <c r="F480" s="70"/>
      <c r="G480" s="67"/>
      <c r="H480" s="71"/>
      <c r="I480" s="72"/>
      <c r="J480" s="72"/>
      <c r="K480" s="36"/>
      <c r="L480" s="79">
        <v>480</v>
      </c>
      <c r="M480" s="79"/>
      <c r="N480" s="74"/>
      <c r="O480" s="81" t="s">
        <v>1235</v>
      </c>
    </row>
    <row r="481" spans="1:15" ht="15">
      <c r="A481" s="66" t="s">
        <v>197</v>
      </c>
      <c r="B481" s="66" t="s">
        <v>570</v>
      </c>
      <c r="C481" s="67"/>
      <c r="D481" s="68"/>
      <c r="E481" s="69"/>
      <c r="F481" s="70"/>
      <c r="G481" s="67"/>
      <c r="H481" s="71"/>
      <c r="I481" s="72"/>
      <c r="J481" s="72"/>
      <c r="K481" s="36"/>
      <c r="L481" s="79">
        <v>481</v>
      </c>
      <c r="M481" s="79"/>
      <c r="N481" s="74"/>
      <c r="O481" s="81" t="s">
        <v>1235</v>
      </c>
    </row>
    <row r="482" spans="1:15" ht="15">
      <c r="A482" s="66" t="s">
        <v>197</v>
      </c>
      <c r="B482" s="66" t="s">
        <v>571</v>
      </c>
      <c r="C482" s="67"/>
      <c r="D482" s="68"/>
      <c r="E482" s="69"/>
      <c r="F482" s="70"/>
      <c r="G482" s="67"/>
      <c r="H482" s="71"/>
      <c r="I482" s="72"/>
      <c r="J482" s="72"/>
      <c r="K482" s="36"/>
      <c r="L482" s="79">
        <v>482</v>
      </c>
      <c r="M482" s="79"/>
      <c r="N482" s="74"/>
      <c r="O482" s="81" t="s">
        <v>1235</v>
      </c>
    </row>
    <row r="483" spans="1:15" ht="15">
      <c r="A483" s="66" t="s">
        <v>197</v>
      </c>
      <c r="B483" s="66" t="s">
        <v>572</v>
      </c>
      <c r="C483" s="67"/>
      <c r="D483" s="68"/>
      <c r="E483" s="69"/>
      <c r="F483" s="70"/>
      <c r="G483" s="67"/>
      <c r="H483" s="71"/>
      <c r="I483" s="72"/>
      <c r="J483" s="72"/>
      <c r="K483" s="36"/>
      <c r="L483" s="79">
        <v>483</v>
      </c>
      <c r="M483" s="79"/>
      <c r="N483" s="74"/>
      <c r="O483" s="81" t="s">
        <v>1235</v>
      </c>
    </row>
    <row r="484" spans="1:15" ht="15">
      <c r="A484" s="66" t="s">
        <v>197</v>
      </c>
      <c r="B484" s="66" t="s">
        <v>573</v>
      </c>
      <c r="C484" s="67"/>
      <c r="D484" s="68"/>
      <c r="E484" s="69"/>
      <c r="F484" s="70"/>
      <c r="G484" s="67"/>
      <c r="H484" s="71"/>
      <c r="I484" s="72"/>
      <c r="J484" s="72"/>
      <c r="K484" s="36"/>
      <c r="L484" s="79">
        <v>484</v>
      </c>
      <c r="M484" s="79"/>
      <c r="N484" s="74"/>
      <c r="O484" s="81" t="s">
        <v>1235</v>
      </c>
    </row>
    <row r="485" spans="1:15" ht="15">
      <c r="A485" s="66" t="s">
        <v>197</v>
      </c>
      <c r="B485" s="66" t="s">
        <v>574</v>
      </c>
      <c r="C485" s="67"/>
      <c r="D485" s="68"/>
      <c r="E485" s="69"/>
      <c r="F485" s="70"/>
      <c r="G485" s="67"/>
      <c r="H485" s="71"/>
      <c r="I485" s="72"/>
      <c r="J485" s="72"/>
      <c r="K485" s="36"/>
      <c r="L485" s="79">
        <v>485</v>
      </c>
      <c r="M485" s="79"/>
      <c r="N485" s="74"/>
      <c r="O485" s="81" t="s">
        <v>1235</v>
      </c>
    </row>
    <row r="486" spans="1:15" ht="15">
      <c r="A486" s="66" t="s">
        <v>197</v>
      </c>
      <c r="B486" s="66" t="s">
        <v>575</v>
      </c>
      <c r="C486" s="67"/>
      <c r="D486" s="68"/>
      <c r="E486" s="69"/>
      <c r="F486" s="70"/>
      <c r="G486" s="67"/>
      <c r="H486" s="71"/>
      <c r="I486" s="72"/>
      <c r="J486" s="72"/>
      <c r="K486" s="36"/>
      <c r="L486" s="79">
        <v>486</v>
      </c>
      <c r="M486" s="79"/>
      <c r="N486" s="74"/>
      <c r="O486" s="81" t="s">
        <v>1235</v>
      </c>
    </row>
    <row r="487" spans="1:15" ht="15">
      <c r="A487" s="66" t="s">
        <v>197</v>
      </c>
      <c r="B487" s="66" t="s">
        <v>576</v>
      </c>
      <c r="C487" s="67"/>
      <c r="D487" s="68"/>
      <c r="E487" s="69"/>
      <c r="F487" s="70"/>
      <c r="G487" s="67"/>
      <c r="H487" s="71"/>
      <c r="I487" s="72"/>
      <c r="J487" s="72"/>
      <c r="K487" s="36"/>
      <c r="L487" s="79">
        <v>487</v>
      </c>
      <c r="M487" s="79"/>
      <c r="N487" s="74"/>
      <c r="O487" s="81" t="s">
        <v>1235</v>
      </c>
    </row>
    <row r="488" spans="1:15" ht="15">
      <c r="A488" s="66" t="s">
        <v>197</v>
      </c>
      <c r="B488" s="66" t="s">
        <v>577</v>
      </c>
      <c r="C488" s="67"/>
      <c r="D488" s="68"/>
      <c r="E488" s="69"/>
      <c r="F488" s="70"/>
      <c r="G488" s="67"/>
      <c r="H488" s="71"/>
      <c r="I488" s="72"/>
      <c r="J488" s="72"/>
      <c r="K488" s="36"/>
      <c r="L488" s="79">
        <v>488</v>
      </c>
      <c r="M488" s="79"/>
      <c r="N488" s="74"/>
      <c r="O488" s="81" t="s">
        <v>1235</v>
      </c>
    </row>
    <row r="489" spans="1:15" ht="15">
      <c r="A489" s="66" t="s">
        <v>197</v>
      </c>
      <c r="B489" s="66" t="s">
        <v>578</v>
      </c>
      <c r="C489" s="67"/>
      <c r="D489" s="68"/>
      <c r="E489" s="69"/>
      <c r="F489" s="70"/>
      <c r="G489" s="67"/>
      <c r="H489" s="71"/>
      <c r="I489" s="72"/>
      <c r="J489" s="72"/>
      <c r="K489" s="36"/>
      <c r="L489" s="79">
        <v>489</v>
      </c>
      <c r="M489" s="79"/>
      <c r="N489" s="74"/>
      <c r="O489" s="81" t="s">
        <v>1235</v>
      </c>
    </row>
    <row r="490" spans="1:15" ht="15">
      <c r="A490" s="66" t="s">
        <v>197</v>
      </c>
      <c r="B490" s="66" t="s">
        <v>579</v>
      </c>
      <c r="C490" s="67"/>
      <c r="D490" s="68"/>
      <c r="E490" s="69"/>
      <c r="F490" s="70"/>
      <c r="G490" s="67"/>
      <c r="H490" s="71"/>
      <c r="I490" s="72"/>
      <c r="J490" s="72"/>
      <c r="K490" s="36"/>
      <c r="L490" s="79">
        <v>490</v>
      </c>
      <c r="M490" s="79"/>
      <c r="N490" s="74"/>
      <c r="O490" s="81" t="s">
        <v>1235</v>
      </c>
    </row>
    <row r="491" spans="1:15" ht="15">
      <c r="A491" s="66" t="s">
        <v>197</v>
      </c>
      <c r="B491" s="66" t="s">
        <v>580</v>
      </c>
      <c r="C491" s="67"/>
      <c r="D491" s="68"/>
      <c r="E491" s="69"/>
      <c r="F491" s="70"/>
      <c r="G491" s="67"/>
      <c r="H491" s="71"/>
      <c r="I491" s="72"/>
      <c r="J491" s="72"/>
      <c r="K491" s="36"/>
      <c r="L491" s="79">
        <v>491</v>
      </c>
      <c r="M491" s="79"/>
      <c r="N491" s="74"/>
      <c r="O491" s="81" t="s">
        <v>1235</v>
      </c>
    </row>
    <row r="492" spans="1:15" ht="15">
      <c r="A492" s="66" t="s">
        <v>197</v>
      </c>
      <c r="B492" s="66" t="s">
        <v>581</v>
      </c>
      <c r="C492" s="67"/>
      <c r="D492" s="68"/>
      <c r="E492" s="69"/>
      <c r="F492" s="70"/>
      <c r="G492" s="67"/>
      <c r="H492" s="71"/>
      <c r="I492" s="72"/>
      <c r="J492" s="72"/>
      <c r="K492" s="36"/>
      <c r="L492" s="79">
        <v>492</v>
      </c>
      <c r="M492" s="79"/>
      <c r="N492" s="74"/>
      <c r="O492" s="81" t="s">
        <v>1235</v>
      </c>
    </row>
    <row r="493" spans="1:15" ht="15">
      <c r="A493" s="66" t="s">
        <v>197</v>
      </c>
      <c r="B493" s="66" t="s">
        <v>582</v>
      </c>
      <c r="C493" s="67"/>
      <c r="D493" s="68"/>
      <c r="E493" s="69"/>
      <c r="F493" s="70"/>
      <c r="G493" s="67"/>
      <c r="H493" s="71"/>
      <c r="I493" s="72"/>
      <c r="J493" s="72"/>
      <c r="K493" s="36"/>
      <c r="L493" s="79">
        <v>493</v>
      </c>
      <c r="M493" s="79"/>
      <c r="N493" s="74"/>
      <c r="O493" s="81" t="s">
        <v>1235</v>
      </c>
    </row>
    <row r="494" spans="1:15" ht="15">
      <c r="A494" s="66" t="s">
        <v>197</v>
      </c>
      <c r="B494" s="66" t="s">
        <v>583</v>
      </c>
      <c r="C494" s="67"/>
      <c r="D494" s="68"/>
      <c r="E494" s="69"/>
      <c r="F494" s="70"/>
      <c r="G494" s="67"/>
      <c r="H494" s="71"/>
      <c r="I494" s="72"/>
      <c r="J494" s="72"/>
      <c r="K494" s="36"/>
      <c r="L494" s="79">
        <v>494</v>
      </c>
      <c r="M494" s="79"/>
      <c r="N494" s="74"/>
      <c r="O494" s="81" t="s">
        <v>1235</v>
      </c>
    </row>
    <row r="495" spans="1:15" ht="15">
      <c r="A495" s="66" t="s">
        <v>197</v>
      </c>
      <c r="B495" s="66" t="s">
        <v>584</v>
      </c>
      <c r="C495" s="67"/>
      <c r="D495" s="68"/>
      <c r="E495" s="69"/>
      <c r="F495" s="70"/>
      <c r="G495" s="67"/>
      <c r="H495" s="71"/>
      <c r="I495" s="72"/>
      <c r="J495" s="72"/>
      <c r="K495" s="36"/>
      <c r="L495" s="79">
        <v>495</v>
      </c>
      <c r="M495" s="79"/>
      <c r="N495" s="74"/>
      <c r="O495" s="81" t="s">
        <v>1235</v>
      </c>
    </row>
    <row r="496" spans="1:15" ht="15">
      <c r="A496" s="66" t="s">
        <v>197</v>
      </c>
      <c r="B496" s="66" t="s">
        <v>585</v>
      </c>
      <c r="C496" s="67"/>
      <c r="D496" s="68"/>
      <c r="E496" s="69"/>
      <c r="F496" s="70"/>
      <c r="G496" s="67"/>
      <c r="H496" s="71"/>
      <c r="I496" s="72"/>
      <c r="J496" s="72"/>
      <c r="K496" s="36"/>
      <c r="L496" s="79">
        <v>496</v>
      </c>
      <c r="M496" s="79"/>
      <c r="N496" s="74"/>
      <c r="O496" s="81" t="s">
        <v>1235</v>
      </c>
    </row>
    <row r="497" spans="1:15" ht="15">
      <c r="A497" s="66" t="s">
        <v>197</v>
      </c>
      <c r="B497" s="66" t="s">
        <v>586</v>
      </c>
      <c r="C497" s="67"/>
      <c r="D497" s="68"/>
      <c r="E497" s="69"/>
      <c r="F497" s="70"/>
      <c r="G497" s="67"/>
      <c r="H497" s="71"/>
      <c r="I497" s="72"/>
      <c r="J497" s="72"/>
      <c r="K497" s="36"/>
      <c r="L497" s="79">
        <v>497</v>
      </c>
      <c r="M497" s="79"/>
      <c r="N497" s="74"/>
      <c r="O497" s="81" t="s">
        <v>1235</v>
      </c>
    </row>
    <row r="498" spans="1:15" ht="15">
      <c r="A498" s="66" t="s">
        <v>197</v>
      </c>
      <c r="B498" s="66" t="s">
        <v>587</v>
      </c>
      <c r="C498" s="67"/>
      <c r="D498" s="68"/>
      <c r="E498" s="69"/>
      <c r="F498" s="70"/>
      <c r="G498" s="67"/>
      <c r="H498" s="71"/>
      <c r="I498" s="72"/>
      <c r="J498" s="72"/>
      <c r="K498" s="36"/>
      <c r="L498" s="79">
        <v>498</v>
      </c>
      <c r="M498" s="79"/>
      <c r="N498" s="74"/>
      <c r="O498" s="81" t="s">
        <v>1235</v>
      </c>
    </row>
    <row r="499" spans="1:15" ht="15">
      <c r="A499" s="66" t="s">
        <v>197</v>
      </c>
      <c r="B499" s="66" t="s">
        <v>588</v>
      </c>
      <c r="C499" s="67"/>
      <c r="D499" s="68"/>
      <c r="E499" s="69"/>
      <c r="F499" s="70"/>
      <c r="G499" s="67"/>
      <c r="H499" s="71"/>
      <c r="I499" s="72"/>
      <c r="J499" s="72"/>
      <c r="K499" s="36"/>
      <c r="L499" s="79">
        <v>499</v>
      </c>
      <c r="M499" s="79"/>
      <c r="N499" s="74"/>
      <c r="O499" s="81" t="s">
        <v>1235</v>
      </c>
    </row>
    <row r="500" spans="1:15" ht="15">
      <c r="A500" s="66" t="s">
        <v>197</v>
      </c>
      <c r="B500" s="66" t="s">
        <v>589</v>
      </c>
      <c r="C500" s="67"/>
      <c r="D500" s="68"/>
      <c r="E500" s="69"/>
      <c r="F500" s="70"/>
      <c r="G500" s="67"/>
      <c r="H500" s="71"/>
      <c r="I500" s="72"/>
      <c r="J500" s="72"/>
      <c r="K500" s="36"/>
      <c r="L500" s="79">
        <v>500</v>
      </c>
      <c r="M500" s="79"/>
      <c r="N500" s="74"/>
      <c r="O500" s="81" t="s">
        <v>1235</v>
      </c>
    </row>
    <row r="501" spans="1:15" ht="15">
      <c r="A501" s="66" t="s">
        <v>197</v>
      </c>
      <c r="B501" s="66" t="s">
        <v>590</v>
      </c>
      <c r="C501" s="67"/>
      <c r="D501" s="68"/>
      <c r="E501" s="69"/>
      <c r="F501" s="70"/>
      <c r="G501" s="67"/>
      <c r="H501" s="71"/>
      <c r="I501" s="72"/>
      <c r="J501" s="72"/>
      <c r="K501" s="36"/>
      <c r="L501" s="79">
        <v>501</v>
      </c>
      <c r="M501" s="79"/>
      <c r="N501" s="74"/>
      <c r="O501" s="81" t="s">
        <v>1235</v>
      </c>
    </row>
    <row r="502" spans="1:15" ht="15">
      <c r="A502" s="66" t="s">
        <v>197</v>
      </c>
      <c r="B502" s="66" t="s">
        <v>591</v>
      </c>
      <c r="C502" s="67"/>
      <c r="D502" s="68"/>
      <c r="E502" s="69"/>
      <c r="F502" s="70"/>
      <c r="G502" s="67"/>
      <c r="H502" s="71"/>
      <c r="I502" s="72"/>
      <c r="J502" s="72"/>
      <c r="K502" s="36"/>
      <c r="L502" s="79">
        <v>502</v>
      </c>
      <c r="M502" s="79"/>
      <c r="N502" s="74"/>
      <c r="O502" s="81" t="s">
        <v>1235</v>
      </c>
    </row>
    <row r="503" spans="1:15" ht="15">
      <c r="A503" s="66" t="s">
        <v>197</v>
      </c>
      <c r="B503" s="66" t="s">
        <v>592</v>
      </c>
      <c r="C503" s="67"/>
      <c r="D503" s="68"/>
      <c r="E503" s="69"/>
      <c r="F503" s="70"/>
      <c r="G503" s="67"/>
      <c r="H503" s="71"/>
      <c r="I503" s="72"/>
      <c r="J503" s="72"/>
      <c r="K503" s="36"/>
      <c r="L503" s="79">
        <v>503</v>
      </c>
      <c r="M503" s="79"/>
      <c r="N503" s="74"/>
      <c r="O503" s="81" t="s">
        <v>1235</v>
      </c>
    </row>
    <row r="504" spans="1:15" ht="15">
      <c r="A504" s="66" t="s">
        <v>197</v>
      </c>
      <c r="B504" s="66" t="s">
        <v>593</v>
      </c>
      <c r="C504" s="67"/>
      <c r="D504" s="68"/>
      <c r="E504" s="69"/>
      <c r="F504" s="70"/>
      <c r="G504" s="67"/>
      <c r="H504" s="71"/>
      <c r="I504" s="72"/>
      <c r="J504" s="72"/>
      <c r="K504" s="36"/>
      <c r="L504" s="79">
        <v>504</v>
      </c>
      <c r="M504" s="79"/>
      <c r="N504" s="74"/>
      <c r="O504" s="81" t="s">
        <v>1235</v>
      </c>
    </row>
    <row r="505" spans="1:15" ht="15">
      <c r="A505" s="66" t="s">
        <v>197</v>
      </c>
      <c r="B505" s="66" t="s">
        <v>594</v>
      </c>
      <c r="C505" s="67"/>
      <c r="D505" s="68"/>
      <c r="E505" s="69"/>
      <c r="F505" s="70"/>
      <c r="G505" s="67"/>
      <c r="H505" s="71"/>
      <c r="I505" s="72"/>
      <c r="J505" s="72"/>
      <c r="K505" s="36"/>
      <c r="L505" s="79">
        <v>505</v>
      </c>
      <c r="M505" s="79"/>
      <c r="N505" s="74"/>
      <c r="O505" s="81" t="s">
        <v>1235</v>
      </c>
    </row>
    <row r="506" spans="1:15" ht="15">
      <c r="A506" s="66" t="s">
        <v>197</v>
      </c>
      <c r="B506" s="66" t="s">
        <v>595</v>
      </c>
      <c r="C506" s="67"/>
      <c r="D506" s="68"/>
      <c r="E506" s="69"/>
      <c r="F506" s="70"/>
      <c r="G506" s="67"/>
      <c r="H506" s="71"/>
      <c r="I506" s="72"/>
      <c r="J506" s="72"/>
      <c r="K506" s="36"/>
      <c r="L506" s="79">
        <v>506</v>
      </c>
      <c r="M506" s="79"/>
      <c r="N506" s="74"/>
      <c r="O506" s="81" t="s">
        <v>1235</v>
      </c>
    </row>
    <row r="507" spans="1:15" ht="15">
      <c r="A507" s="66" t="s">
        <v>197</v>
      </c>
      <c r="B507" s="66" t="s">
        <v>596</v>
      </c>
      <c r="C507" s="67"/>
      <c r="D507" s="68"/>
      <c r="E507" s="69"/>
      <c r="F507" s="70"/>
      <c r="G507" s="67"/>
      <c r="H507" s="71"/>
      <c r="I507" s="72"/>
      <c r="J507" s="72"/>
      <c r="K507" s="36"/>
      <c r="L507" s="79">
        <v>507</v>
      </c>
      <c r="M507" s="79"/>
      <c r="N507" s="74"/>
      <c r="O507" s="81" t="s">
        <v>1235</v>
      </c>
    </row>
    <row r="508" spans="1:15" ht="15">
      <c r="A508" s="66" t="s">
        <v>197</v>
      </c>
      <c r="B508" s="66" t="s">
        <v>597</v>
      </c>
      <c r="C508" s="67"/>
      <c r="D508" s="68"/>
      <c r="E508" s="69"/>
      <c r="F508" s="70"/>
      <c r="G508" s="67"/>
      <c r="H508" s="71"/>
      <c r="I508" s="72"/>
      <c r="J508" s="72"/>
      <c r="K508" s="36"/>
      <c r="L508" s="79">
        <v>508</v>
      </c>
      <c r="M508" s="79"/>
      <c r="N508" s="74"/>
      <c r="O508" s="81" t="s">
        <v>1235</v>
      </c>
    </row>
    <row r="509" spans="1:15" ht="15">
      <c r="A509" s="66" t="s">
        <v>197</v>
      </c>
      <c r="B509" s="66" t="s">
        <v>598</v>
      </c>
      <c r="C509" s="67"/>
      <c r="D509" s="68"/>
      <c r="E509" s="69"/>
      <c r="F509" s="70"/>
      <c r="G509" s="67"/>
      <c r="H509" s="71"/>
      <c r="I509" s="72"/>
      <c r="J509" s="72"/>
      <c r="K509" s="36"/>
      <c r="L509" s="79">
        <v>509</v>
      </c>
      <c r="M509" s="79"/>
      <c r="N509" s="74"/>
      <c r="O509" s="81" t="s">
        <v>1235</v>
      </c>
    </row>
    <row r="510" spans="1:15" ht="15">
      <c r="A510" s="66" t="s">
        <v>197</v>
      </c>
      <c r="B510" s="66" t="s">
        <v>599</v>
      </c>
      <c r="C510" s="67"/>
      <c r="D510" s="68"/>
      <c r="E510" s="69"/>
      <c r="F510" s="70"/>
      <c r="G510" s="67"/>
      <c r="H510" s="71"/>
      <c r="I510" s="72"/>
      <c r="J510" s="72"/>
      <c r="K510" s="36"/>
      <c r="L510" s="79">
        <v>510</v>
      </c>
      <c r="M510" s="79"/>
      <c r="N510" s="74"/>
      <c r="O510" s="81" t="s">
        <v>1235</v>
      </c>
    </row>
    <row r="511" spans="1:15" ht="15">
      <c r="A511" s="66" t="s">
        <v>197</v>
      </c>
      <c r="B511" s="66" t="s">
        <v>600</v>
      </c>
      <c r="C511" s="67"/>
      <c r="D511" s="68"/>
      <c r="E511" s="69"/>
      <c r="F511" s="70"/>
      <c r="G511" s="67"/>
      <c r="H511" s="71"/>
      <c r="I511" s="72"/>
      <c r="J511" s="72"/>
      <c r="K511" s="36"/>
      <c r="L511" s="79">
        <v>511</v>
      </c>
      <c r="M511" s="79"/>
      <c r="N511" s="74"/>
      <c r="O511" s="81" t="s">
        <v>1235</v>
      </c>
    </row>
    <row r="512" spans="1:15" ht="15">
      <c r="A512" s="66" t="s">
        <v>197</v>
      </c>
      <c r="B512" s="66" t="s">
        <v>601</v>
      </c>
      <c r="C512" s="67"/>
      <c r="D512" s="68"/>
      <c r="E512" s="69"/>
      <c r="F512" s="70"/>
      <c r="G512" s="67"/>
      <c r="H512" s="71"/>
      <c r="I512" s="72"/>
      <c r="J512" s="72"/>
      <c r="K512" s="36"/>
      <c r="L512" s="79">
        <v>512</v>
      </c>
      <c r="M512" s="79"/>
      <c r="N512" s="74"/>
      <c r="O512" s="81" t="s">
        <v>1235</v>
      </c>
    </row>
    <row r="513" spans="1:15" ht="15">
      <c r="A513" s="66" t="s">
        <v>197</v>
      </c>
      <c r="B513" s="66" t="s">
        <v>602</v>
      </c>
      <c r="C513" s="67"/>
      <c r="D513" s="68"/>
      <c r="E513" s="69"/>
      <c r="F513" s="70"/>
      <c r="G513" s="67"/>
      <c r="H513" s="71"/>
      <c r="I513" s="72"/>
      <c r="J513" s="72"/>
      <c r="K513" s="36"/>
      <c r="L513" s="79">
        <v>513</v>
      </c>
      <c r="M513" s="79"/>
      <c r="N513" s="74"/>
      <c r="O513" s="81" t="s">
        <v>1235</v>
      </c>
    </row>
    <row r="514" spans="1:15" ht="15">
      <c r="A514" s="66" t="s">
        <v>197</v>
      </c>
      <c r="B514" s="66" t="s">
        <v>470</v>
      </c>
      <c r="C514" s="67"/>
      <c r="D514" s="68"/>
      <c r="E514" s="69"/>
      <c r="F514" s="70"/>
      <c r="G514" s="67"/>
      <c r="H514" s="71"/>
      <c r="I514" s="72"/>
      <c r="J514" s="72"/>
      <c r="K514" s="36"/>
      <c r="L514" s="79">
        <v>514</v>
      </c>
      <c r="M514" s="79"/>
      <c r="N514" s="74"/>
      <c r="O514" s="81" t="s">
        <v>1235</v>
      </c>
    </row>
    <row r="515" spans="1:15" ht="15">
      <c r="A515" s="66" t="s">
        <v>197</v>
      </c>
      <c r="B515" s="66" t="s">
        <v>603</v>
      </c>
      <c r="C515" s="67"/>
      <c r="D515" s="68"/>
      <c r="E515" s="69"/>
      <c r="F515" s="70"/>
      <c r="G515" s="67"/>
      <c r="H515" s="71"/>
      <c r="I515" s="72"/>
      <c r="J515" s="72"/>
      <c r="K515" s="36"/>
      <c r="L515" s="79">
        <v>515</v>
      </c>
      <c r="M515" s="79"/>
      <c r="N515" s="74"/>
      <c r="O515" s="81" t="s">
        <v>1235</v>
      </c>
    </row>
    <row r="516" spans="1:15" ht="15">
      <c r="A516" s="66" t="s">
        <v>197</v>
      </c>
      <c r="B516" s="66" t="s">
        <v>604</v>
      </c>
      <c r="C516" s="67"/>
      <c r="D516" s="68"/>
      <c r="E516" s="69"/>
      <c r="F516" s="70"/>
      <c r="G516" s="67"/>
      <c r="H516" s="71"/>
      <c r="I516" s="72"/>
      <c r="J516" s="72"/>
      <c r="K516" s="36"/>
      <c r="L516" s="79">
        <v>516</v>
      </c>
      <c r="M516" s="79"/>
      <c r="N516" s="74"/>
      <c r="O516" s="81" t="s">
        <v>1235</v>
      </c>
    </row>
    <row r="517" spans="1:15" ht="15">
      <c r="A517" s="66" t="s">
        <v>197</v>
      </c>
      <c r="B517" s="66" t="s">
        <v>605</v>
      </c>
      <c r="C517" s="67"/>
      <c r="D517" s="68"/>
      <c r="E517" s="69"/>
      <c r="F517" s="70"/>
      <c r="G517" s="67"/>
      <c r="H517" s="71"/>
      <c r="I517" s="72"/>
      <c r="J517" s="72"/>
      <c r="K517" s="36"/>
      <c r="L517" s="79">
        <v>517</v>
      </c>
      <c r="M517" s="79"/>
      <c r="N517" s="74"/>
      <c r="O517" s="81" t="s">
        <v>1235</v>
      </c>
    </row>
    <row r="518" spans="1:15" ht="15">
      <c r="A518" s="66" t="s">
        <v>197</v>
      </c>
      <c r="B518" s="66" t="s">
        <v>606</v>
      </c>
      <c r="C518" s="67"/>
      <c r="D518" s="68"/>
      <c r="E518" s="69"/>
      <c r="F518" s="70"/>
      <c r="G518" s="67"/>
      <c r="H518" s="71"/>
      <c r="I518" s="72"/>
      <c r="J518" s="72"/>
      <c r="K518" s="36"/>
      <c r="L518" s="79">
        <v>518</v>
      </c>
      <c r="M518" s="79"/>
      <c r="N518" s="74"/>
      <c r="O518" s="81" t="s">
        <v>1235</v>
      </c>
    </row>
    <row r="519" spans="1:15" ht="15">
      <c r="A519" s="66" t="s">
        <v>197</v>
      </c>
      <c r="B519" s="66" t="s">
        <v>607</v>
      </c>
      <c r="C519" s="67"/>
      <c r="D519" s="68"/>
      <c r="E519" s="69"/>
      <c r="F519" s="70"/>
      <c r="G519" s="67"/>
      <c r="H519" s="71"/>
      <c r="I519" s="72"/>
      <c r="J519" s="72"/>
      <c r="K519" s="36"/>
      <c r="L519" s="79">
        <v>519</v>
      </c>
      <c r="M519" s="79"/>
      <c r="N519" s="74"/>
      <c r="O519" s="81" t="s">
        <v>1235</v>
      </c>
    </row>
    <row r="520" spans="1:15" ht="15">
      <c r="A520" s="66" t="s">
        <v>197</v>
      </c>
      <c r="B520" s="66" t="s">
        <v>295</v>
      </c>
      <c r="C520" s="67"/>
      <c r="D520" s="68"/>
      <c r="E520" s="69"/>
      <c r="F520" s="70"/>
      <c r="G520" s="67"/>
      <c r="H520" s="71"/>
      <c r="I520" s="72"/>
      <c r="J520" s="72"/>
      <c r="K520" s="36"/>
      <c r="L520" s="79">
        <v>520</v>
      </c>
      <c r="M520" s="79"/>
      <c r="N520" s="74"/>
      <c r="O520" s="81" t="s">
        <v>1235</v>
      </c>
    </row>
    <row r="521" spans="1:15" ht="15">
      <c r="A521" s="66" t="s">
        <v>197</v>
      </c>
      <c r="B521" s="66" t="s">
        <v>218</v>
      </c>
      <c r="C521" s="67"/>
      <c r="D521" s="68"/>
      <c r="E521" s="69"/>
      <c r="F521" s="70"/>
      <c r="G521" s="67"/>
      <c r="H521" s="71"/>
      <c r="I521" s="72"/>
      <c r="J521" s="72"/>
      <c r="K521" s="36"/>
      <c r="L521" s="79">
        <v>521</v>
      </c>
      <c r="M521" s="79"/>
      <c r="N521" s="74"/>
      <c r="O521" s="81" t="s">
        <v>1235</v>
      </c>
    </row>
    <row r="522" spans="1:15" ht="15">
      <c r="A522" s="66" t="s">
        <v>197</v>
      </c>
      <c r="B522" s="66" t="s">
        <v>221</v>
      </c>
      <c r="C522" s="67"/>
      <c r="D522" s="68"/>
      <c r="E522" s="69"/>
      <c r="F522" s="70"/>
      <c r="G522" s="67"/>
      <c r="H522" s="71"/>
      <c r="I522" s="72"/>
      <c r="J522" s="72"/>
      <c r="K522" s="36"/>
      <c r="L522" s="79">
        <v>522</v>
      </c>
      <c r="M522" s="79"/>
      <c r="N522" s="74"/>
      <c r="O522" s="81" t="s">
        <v>1235</v>
      </c>
    </row>
    <row r="523" spans="1:15" ht="15">
      <c r="A523" s="66" t="s">
        <v>197</v>
      </c>
      <c r="B523" s="66" t="s">
        <v>291</v>
      </c>
      <c r="C523" s="67"/>
      <c r="D523" s="68"/>
      <c r="E523" s="69"/>
      <c r="F523" s="70"/>
      <c r="G523" s="67"/>
      <c r="H523" s="71"/>
      <c r="I523" s="72"/>
      <c r="J523" s="72"/>
      <c r="K523" s="36"/>
      <c r="L523" s="79">
        <v>523</v>
      </c>
      <c r="M523" s="79"/>
      <c r="N523" s="74"/>
      <c r="O523" s="81" t="s">
        <v>1235</v>
      </c>
    </row>
    <row r="524" spans="1:15" ht="15">
      <c r="A524" s="66" t="s">
        <v>197</v>
      </c>
      <c r="B524" s="66" t="s">
        <v>227</v>
      </c>
      <c r="C524" s="67"/>
      <c r="D524" s="68"/>
      <c r="E524" s="69"/>
      <c r="F524" s="70"/>
      <c r="G524" s="67"/>
      <c r="H524" s="71"/>
      <c r="I524" s="72"/>
      <c r="J524" s="72"/>
      <c r="K524" s="36"/>
      <c r="L524" s="79">
        <v>524</v>
      </c>
      <c r="M524" s="79"/>
      <c r="N524" s="74"/>
      <c r="O524" s="81" t="s">
        <v>1235</v>
      </c>
    </row>
    <row r="525" spans="1:15" ht="15">
      <c r="A525" s="66" t="s">
        <v>198</v>
      </c>
      <c r="B525" s="66" t="s">
        <v>314</v>
      </c>
      <c r="C525" s="67"/>
      <c r="D525" s="68"/>
      <c r="E525" s="69"/>
      <c r="F525" s="70"/>
      <c r="G525" s="67"/>
      <c r="H525" s="71"/>
      <c r="I525" s="72"/>
      <c r="J525" s="72"/>
      <c r="K525" s="36"/>
      <c r="L525" s="79">
        <v>525</v>
      </c>
      <c r="M525" s="79"/>
      <c r="N525" s="74"/>
      <c r="O525" s="81" t="s">
        <v>1235</v>
      </c>
    </row>
    <row r="526" spans="1:15" ht="15">
      <c r="A526" s="66" t="s">
        <v>198</v>
      </c>
      <c r="B526" s="66" t="s">
        <v>315</v>
      </c>
      <c r="C526" s="67"/>
      <c r="D526" s="68"/>
      <c r="E526" s="69"/>
      <c r="F526" s="70"/>
      <c r="G526" s="67"/>
      <c r="H526" s="71"/>
      <c r="I526" s="72"/>
      <c r="J526" s="72"/>
      <c r="K526" s="36"/>
      <c r="L526" s="79">
        <v>526</v>
      </c>
      <c r="M526" s="79"/>
      <c r="N526" s="74"/>
      <c r="O526" s="81" t="s">
        <v>1235</v>
      </c>
    </row>
    <row r="527" spans="1:15" ht="15">
      <c r="A527" s="66" t="s">
        <v>198</v>
      </c>
      <c r="B527" s="66" t="s">
        <v>316</v>
      </c>
      <c r="C527" s="67"/>
      <c r="D527" s="68"/>
      <c r="E527" s="69"/>
      <c r="F527" s="70"/>
      <c r="G527" s="67"/>
      <c r="H527" s="71"/>
      <c r="I527" s="72"/>
      <c r="J527" s="72"/>
      <c r="K527" s="36"/>
      <c r="L527" s="79">
        <v>527</v>
      </c>
      <c r="M527" s="79"/>
      <c r="N527" s="74"/>
      <c r="O527" s="81" t="s">
        <v>1235</v>
      </c>
    </row>
    <row r="528" spans="1:15" ht="15">
      <c r="A528" s="66" t="s">
        <v>198</v>
      </c>
      <c r="B528" s="66" t="s">
        <v>317</v>
      </c>
      <c r="C528" s="67"/>
      <c r="D528" s="68"/>
      <c r="E528" s="69"/>
      <c r="F528" s="70"/>
      <c r="G528" s="67"/>
      <c r="H528" s="71"/>
      <c r="I528" s="72"/>
      <c r="J528" s="72"/>
      <c r="K528" s="36"/>
      <c r="L528" s="79">
        <v>528</v>
      </c>
      <c r="M528" s="79"/>
      <c r="N528" s="74"/>
      <c r="O528" s="81" t="s">
        <v>1235</v>
      </c>
    </row>
    <row r="529" spans="1:15" ht="15">
      <c r="A529" s="66" t="s">
        <v>198</v>
      </c>
      <c r="B529" s="66" t="s">
        <v>318</v>
      </c>
      <c r="C529" s="67"/>
      <c r="D529" s="68"/>
      <c r="E529" s="69"/>
      <c r="F529" s="70"/>
      <c r="G529" s="67"/>
      <c r="H529" s="71"/>
      <c r="I529" s="72"/>
      <c r="J529" s="72"/>
      <c r="K529" s="36"/>
      <c r="L529" s="79">
        <v>529</v>
      </c>
      <c r="M529" s="79"/>
      <c r="N529" s="74"/>
      <c r="O529" s="81" t="s">
        <v>1235</v>
      </c>
    </row>
    <row r="530" spans="1:15" ht="15">
      <c r="A530" s="66" t="s">
        <v>198</v>
      </c>
      <c r="B530" s="66" t="s">
        <v>271</v>
      </c>
      <c r="C530" s="67"/>
      <c r="D530" s="68"/>
      <c r="E530" s="69"/>
      <c r="F530" s="70"/>
      <c r="G530" s="67"/>
      <c r="H530" s="71"/>
      <c r="I530" s="72"/>
      <c r="J530" s="72"/>
      <c r="K530" s="36"/>
      <c r="L530" s="79">
        <v>530</v>
      </c>
      <c r="M530" s="79"/>
      <c r="N530" s="74"/>
      <c r="O530" s="81" t="s">
        <v>1235</v>
      </c>
    </row>
    <row r="531" spans="1:15" ht="15">
      <c r="A531" s="66" t="s">
        <v>198</v>
      </c>
      <c r="B531" s="66" t="s">
        <v>231</v>
      </c>
      <c r="C531" s="67"/>
      <c r="D531" s="68"/>
      <c r="E531" s="69"/>
      <c r="F531" s="70"/>
      <c r="G531" s="67"/>
      <c r="H531" s="71"/>
      <c r="I531" s="72"/>
      <c r="J531" s="72"/>
      <c r="K531" s="36"/>
      <c r="L531" s="79">
        <v>531</v>
      </c>
      <c r="M531" s="79"/>
      <c r="N531" s="74"/>
      <c r="O531" s="81" t="s">
        <v>1235</v>
      </c>
    </row>
    <row r="532" spans="1:15" ht="15">
      <c r="A532" s="66" t="s">
        <v>198</v>
      </c>
      <c r="B532" s="66" t="s">
        <v>228</v>
      </c>
      <c r="C532" s="67"/>
      <c r="D532" s="68"/>
      <c r="E532" s="69"/>
      <c r="F532" s="70"/>
      <c r="G532" s="67"/>
      <c r="H532" s="71"/>
      <c r="I532" s="72"/>
      <c r="J532" s="72"/>
      <c r="K532" s="36"/>
      <c r="L532" s="79">
        <v>532</v>
      </c>
      <c r="M532" s="79"/>
      <c r="N532" s="74"/>
      <c r="O532" s="81" t="s">
        <v>1235</v>
      </c>
    </row>
    <row r="533" spans="1:15" ht="15">
      <c r="A533" s="66" t="s">
        <v>198</v>
      </c>
      <c r="B533" s="66" t="s">
        <v>238</v>
      </c>
      <c r="C533" s="67"/>
      <c r="D533" s="68"/>
      <c r="E533" s="69"/>
      <c r="F533" s="70"/>
      <c r="G533" s="67"/>
      <c r="H533" s="71"/>
      <c r="I533" s="72"/>
      <c r="J533" s="72"/>
      <c r="K533" s="36"/>
      <c r="L533" s="79">
        <v>533</v>
      </c>
      <c r="M533" s="79"/>
      <c r="N533" s="74"/>
      <c r="O533" s="81" t="s">
        <v>1235</v>
      </c>
    </row>
    <row r="534" spans="1:15" ht="15">
      <c r="A534" s="66" t="s">
        <v>198</v>
      </c>
      <c r="B534" s="66" t="s">
        <v>234</v>
      </c>
      <c r="C534" s="67"/>
      <c r="D534" s="68"/>
      <c r="E534" s="69"/>
      <c r="F534" s="70"/>
      <c r="G534" s="67"/>
      <c r="H534" s="71"/>
      <c r="I534" s="72"/>
      <c r="J534" s="72"/>
      <c r="K534" s="36"/>
      <c r="L534" s="79">
        <v>534</v>
      </c>
      <c r="M534" s="79"/>
      <c r="N534" s="74"/>
      <c r="O534" s="81" t="s">
        <v>1235</v>
      </c>
    </row>
    <row r="535" spans="1:15" ht="15">
      <c r="A535" s="66" t="s">
        <v>198</v>
      </c>
      <c r="B535" s="66" t="s">
        <v>236</v>
      </c>
      <c r="C535" s="67"/>
      <c r="D535" s="68"/>
      <c r="E535" s="69"/>
      <c r="F535" s="70"/>
      <c r="G535" s="67"/>
      <c r="H535" s="71"/>
      <c r="I535" s="72"/>
      <c r="J535" s="72"/>
      <c r="K535" s="36"/>
      <c r="L535" s="79">
        <v>535</v>
      </c>
      <c r="M535" s="79"/>
      <c r="N535" s="74"/>
      <c r="O535" s="81" t="s">
        <v>1235</v>
      </c>
    </row>
    <row r="536" spans="1:15" ht="15">
      <c r="A536" s="66" t="s">
        <v>198</v>
      </c>
      <c r="B536" s="66" t="s">
        <v>233</v>
      </c>
      <c r="C536" s="67"/>
      <c r="D536" s="68"/>
      <c r="E536" s="69"/>
      <c r="F536" s="70"/>
      <c r="G536" s="67"/>
      <c r="H536" s="71"/>
      <c r="I536" s="72"/>
      <c r="J536" s="72"/>
      <c r="K536" s="36"/>
      <c r="L536" s="79">
        <v>536</v>
      </c>
      <c r="M536" s="79"/>
      <c r="N536" s="74"/>
      <c r="O536" s="81" t="s">
        <v>1235</v>
      </c>
    </row>
    <row r="537" spans="1:15" ht="15">
      <c r="A537" s="66" t="s">
        <v>198</v>
      </c>
      <c r="B537" s="66" t="s">
        <v>608</v>
      </c>
      <c r="C537" s="67"/>
      <c r="D537" s="68"/>
      <c r="E537" s="69"/>
      <c r="F537" s="70"/>
      <c r="G537" s="67"/>
      <c r="H537" s="71"/>
      <c r="I537" s="72"/>
      <c r="J537" s="72"/>
      <c r="K537" s="36"/>
      <c r="L537" s="79">
        <v>537</v>
      </c>
      <c r="M537" s="79"/>
      <c r="N537" s="74"/>
      <c r="O537" s="81" t="s">
        <v>1235</v>
      </c>
    </row>
    <row r="538" spans="1:15" ht="15">
      <c r="A538" s="66" t="s">
        <v>198</v>
      </c>
      <c r="B538" s="66" t="s">
        <v>529</v>
      </c>
      <c r="C538" s="67"/>
      <c r="D538" s="68"/>
      <c r="E538" s="69"/>
      <c r="F538" s="70"/>
      <c r="G538" s="67"/>
      <c r="H538" s="71"/>
      <c r="I538" s="72"/>
      <c r="J538" s="72"/>
      <c r="K538" s="36"/>
      <c r="L538" s="79">
        <v>538</v>
      </c>
      <c r="M538" s="79"/>
      <c r="N538" s="74"/>
      <c r="O538" s="81" t="s">
        <v>1235</v>
      </c>
    </row>
    <row r="539" spans="1:15" ht="15">
      <c r="A539" s="66" t="s">
        <v>199</v>
      </c>
      <c r="B539" s="66" t="s">
        <v>609</v>
      </c>
      <c r="C539" s="67"/>
      <c r="D539" s="68"/>
      <c r="E539" s="69"/>
      <c r="F539" s="70"/>
      <c r="G539" s="67"/>
      <c r="H539" s="71"/>
      <c r="I539" s="72"/>
      <c r="J539" s="72"/>
      <c r="K539" s="36"/>
      <c r="L539" s="79">
        <v>539</v>
      </c>
      <c r="M539" s="79"/>
      <c r="N539" s="74"/>
      <c r="O539" s="81" t="s">
        <v>1235</v>
      </c>
    </row>
    <row r="540" spans="1:15" ht="15">
      <c r="A540" s="66" t="s">
        <v>199</v>
      </c>
      <c r="B540" s="66" t="s">
        <v>610</v>
      </c>
      <c r="C540" s="67"/>
      <c r="D540" s="68"/>
      <c r="E540" s="69"/>
      <c r="F540" s="70"/>
      <c r="G540" s="67"/>
      <c r="H540" s="71"/>
      <c r="I540" s="72"/>
      <c r="J540" s="72"/>
      <c r="K540" s="36"/>
      <c r="L540" s="79">
        <v>540</v>
      </c>
      <c r="M540" s="79"/>
      <c r="N540" s="74"/>
      <c r="O540" s="81" t="s">
        <v>1235</v>
      </c>
    </row>
    <row r="541" spans="1:15" ht="15">
      <c r="A541" s="66" t="s">
        <v>199</v>
      </c>
      <c r="B541" s="66" t="s">
        <v>611</v>
      </c>
      <c r="C541" s="67"/>
      <c r="D541" s="68"/>
      <c r="E541" s="69"/>
      <c r="F541" s="70"/>
      <c r="G541" s="67"/>
      <c r="H541" s="71"/>
      <c r="I541" s="72"/>
      <c r="J541" s="72"/>
      <c r="K541" s="36"/>
      <c r="L541" s="79">
        <v>541</v>
      </c>
      <c r="M541" s="79"/>
      <c r="N541" s="74"/>
      <c r="O541" s="81" t="s">
        <v>1235</v>
      </c>
    </row>
    <row r="542" spans="1:15" ht="15">
      <c r="A542" s="66" t="s">
        <v>199</v>
      </c>
      <c r="B542" s="66" t="s">
        <v>612</v>
      </c>
      <c r="C542" s="67"/>
      <c r="D542" s="68"/>
      <c r="E542" s="69"/>
      <c r="F542" s="70"/>
      <c r="G542" s="67"/>
      <c r="H542" s="71"/>
      <c r="I542" s="72"/>
      <c r="J542" s="72"/>
      <c r="K542" s="36"/>
      <c r="L542" s="79">
        <v>542</v>
      </c>
      <c r="M542" s="79"/>
      <c r="N542" s="74"/>
      <c r="O542" s="81" t="s">
        <v>1235</v>
      </c>
    </row>
    <row r="543" spans="1:15" ht="15">
      <c r="A543" s="66" t="s">
        <v>199</v>
      </c>
      <c r="B543" s="66" t="s">
        <v>565</v>
      </c>
      <c r="C543" s="67"/>
      <c r="D543" s="68"/>
      <c r="E543" s="69"/>
      <c r="F543" s="70"/>
      <c r="G543" s="67"/>
      <c r="H543" s="71"/>
      <c r="I543" s="72"/>
      <c r="J543" s="72"/>
      <c r="K543" s="36"/>
      <c r="L543" s="79">
        <v>543</v>
      </c>
      <c r="M543" s="79"/>
      <c r="N543" s="74"/>
      <c r="O543" s="81" t="s">
        <v>1235</v>
      </c>
    </row>
    <row r="544" spans="1:15" ht="15">
      <c r="A544" s="66" t="s">
        <v>199</v>
      </c>
      <c r="B544" s="66" t="s">
        <v>284</v>
      </c>
      <c r="C544" s="67"/>
      <c r="D544" s="68"/>
      <c r="E544" s="69"/>
      <c r="F544" s="70"/>
      <c r="G544" s="67"/>
      <c r="H544" s="71"/>
      <c r="I544" s="72"/>
      <c r="J544" s="72"/>
      <c r="K544" s="36"/>
      <c r="L544" s="79">
        <v>544</v>
      </c>
      <c r="M544" s="79"/>
      <c r="N544" s="74"/>
      <c r="O544" s="81" t="s">
        <v>1235</v>
      </c>
    </row>
    <row r="545" spans="1:15" ht="15">
      <c r="A545" s="66" t="s">
        <v>199</v>
      </c>
      <c r="B545" s="66" t="s">
        <v>613</v>
      </c>
      <c r="C545" s="67"/>
      <c r="D545" s="68"/>
      <c r="E545" s="69"/>
      <c r="F545" s="70"/>
      <c r="G545" s="67"/>
      <c r="H545" s="71"/>
      <c r="I545" s="72"/>
      <c r="J545" s="72"/>
      <c r="K545" s="36"/>
      <c r="L545" s="79">
        <v>545</v>
      </c>
      <c r="M545" s="79"/>
      <c r="N545" s="74"/>
      <c r="O545" s="81" t="s">
        <v>1235</v>
      </c>
    </row>
    <row r="546" spans="1:15" ht="15">
      <c r="A546" s="66" t="s">
        <v>199</v>
      </c>
      <c r="B546" s="66" t="s">
        <v>296</v>
      </c>
      <c r="C546" s="67"/>
      <c r="D546" s="68"/>
      <c r="E546" s="69"/>
      <c r="F546" s="70"/>
      <c r="G546" s="67"/>
      <c r="H546" s="71"/>
      <c r="I546" s="72"/>
      <c r="J546" s="72"/>
      <c r="K546" s="36"/>
      <c r="L546" s="79">
        <v>546</v>
      </c>
      <c r="M546" s="79"/>
      <c r="N546" s="74"/>
      <c r="O546" s="81" t="s">
        <v>1235</v>
      </c>
    </row>
    <row r="547" spans="1:15" ht="15">
      <c r="A547" s="66" t="s">
        <v>199</v>
      </c>
      <c r="B547" s="66" t="s">
        <v>223</v>
      </c>
      <c r="C547" s="67"/>
      <c r="D547" s="68"/>
      <c r="E547" s="69"/>
      <c r="F547" s="70"/>
      <c r="G547" s="67"/>
      <c r="H547" s="71"/>
      <c r="I547" s="72"/>
      <c r="J547" s="72"/>
      <c r="K547" s="36"/>
      <c r="L547" s="79">
        <v>547</v>
      </c>
      <c r="M547" s="79"/>
      <c r="N547" s="74"/>
      <c r="O547" s="81" t="s">
        <v>1235</v>
      </c>
    </row>
    <row r="548" spans="1:15" ht="15">
      <c r="A548" s="66" t="s">
        <v>199</v>
      </c>
      <c r="B548" s="66" t="s">
        <v>221</v>
      </c>
      <c r="C548" s="67"/>
      <c r="D548" s="68"/>
      <c r="E548" s="69"/>
      <c r="F548" s="70"/>
      <c r="G548" s="67"/>
      <c r="H548" s="71"/>
      <c r="I548" s="72"/>
      <c r="J548" s="72"/>
      <c r="K548" s="36"/>
      <c r="L548" s="79">
        <v>548</v>
      </c>
      <c r="M548" s="79"/>
      <c r="N548" s="74"/>
      <c r="O548" s="81" t="s">
        <v>1235</v>
      </c>
    </row>
    <row r="549" spans="1:15" ht="15">
      <c r="A549" s="66" t="s">
        <v>199</v>
      </c>
      <c r="B549" s="66" t="s">
        <v>614</v>
      </c>
      <c r="C549" s="67"/>
      <c r="D549" s="68"/>
      <c r="E549" s="69"/>
      <c r="F549" s="70"/>
      <c r="G549" s="67"/>
      <c r="H549" s="71"/>
      <c r="I549" s="72"/>
      <c r="J549" s="72"/>
      <c r="K549" s="36"/>
      <c r="L549" s="79">
        <v>549</v>
      </c>
      <c r="M549" s="79"/>
      <c r="N549" s="74"/>
      <c r="O549" s="81" t="s">
        <v>1235</v>
      </c>
    </row>
    <row r="550" spans="1:15" ht="15">
      <c r="A550" s="66" t="s">
        <v>199</v>
      </c>
      <c r="B550" s="66" t="s">
        <v>566</v>
      </c>
      <c r="C550" s="67"/>
      <c r="D550" s="68"/>
      <c r="E550" s="69"/>
      <c r="F550" s="70"/>
      <c r="G550" s="67"/>
      <c r="H550" s="71"/>
      <c r="I550" s="72"/>
      <c r="J550" s="72"/>
      <c r="K550" s="36"/>
      <c r="L550" s="79">
        <v>550</v>
      </c>
      <c r="M550" s="79"/>
      <c r="N550" s="74"/>
      <c r="O550" s="81" t="s">
        <v>1235</v>
      </c>
    </row>
    <row r="551" spans="1:15" ht="15">
      <c r="A551" s="66" t="s">
        <v>199</v>
      </c>
      <c r="B551" s="66" t="s">
        <v>220</v>
      </c>
      <c r="C551" s="67"/>
      <c r="D551" s="68"/>
      <c r="E551" s="69"/>
      <c r="F551" s="70"/>
      <c r="G551" s="67"/>
      <c r="H551" s="71"/>
      <c r="I551" s="72"/>
      <c r="J551" s="72"/>
      <c r="K551" s="36"/>
      <c r="L551" s="79">
        <v>551</v>
      </c>
      <c r="M551" s="79"/>
      <c r="N551" s="74"/>
      <c r="O551" s="81" t="s">
        <v>1235</v>
      </c>
    </row>
    <row r="552" spans="1:15" ht="15">
      <c r="A552" s="66" t="s">
        <v>199</v>
      </c>
      <c r="B552" s="66" t="s">
        <v>225</v>
      </c>
      <c r="C552" s="67"/>
      <c r="D552" s="68"/>
      <c r="E552" s="69"/>
      <c r="F552" s="70"/>
      <c r="G552" s="67"/>
      <c r="H552" s="71"/>
      <c r="I552" s="72"/>
      <c r="J552" s="72"/>
      <c r="K552" s="36"/>
      <c r="L552" s="79">
        <v>552</v>
      </c>
      <c r="M552" s="79"/>
      <c r="N552" s="74"/>
      <c r="O552" s="81" t="s">
        <v>1235</v>
      </c>
    </row>
    <row r="553" spans="1:15" ht="15">
      <c r="A553" s="66" t="s">
        <v>199</v>
      </c>
      <c r="B553" s="66" t="s">
        <v>206</v>
      </c>
      <c r="C553" s="67"/>
      <c r="D553" s="68"/>
      <c r="E553" s="69"/>
      <c r="F553" s="70"/>
      <c r="G553" s="67"/>
      <c r="H553" s="71"/>
      <c r="I553" s="72"/>
      <c r="J553" s="72"/>
      <c r="K553" s="36"/>
      <c r="L553" s="79">
        <v>553</v>
      </c>
      <c r="M553" s="79"/>
      <c r="N553" s="74"/>
      <c r="O553" s="81" t="s">
        <v>1235</v>
      </c>
    </row>
    <row r="554" spans="1:15" ht="15">
      <c r="A554" s="66" t="s">
        <v>199</v>
      </c>
      <c r="B554" s="66" t="s">
        <v>212</v>
      </c>
      <c r="C554" s="67"/>
      <c r="D554" s="68"/>
      <c r="E554" s="69"/>
      <c r="F554" s="70"/>
      <c r="G554" s="67"/>
      <c r="H554" s="71"/>
      <c r="I554" s="72"/>
      <c r="J554" s="72"/>
      <c r="K554" s="36"/>
      <c r="L554" s="79">
        <v>554</v>
      </c>
      <c r="M554" s="79"/>
      <c r="N554" s="74"/>
      <c r="O554" s="81" t="s">
        <v>1235</v>
      </c>
    </row>
    <row r="555" spans="1:15" ht="15">
      <c r="A555" s="66" t="s">
        <v>199</v>
      </c>
      <c r="B555" s="66" t="s">
        <v>224</v>
      </c>
      <c r="C555" s="67"/>
      <c r="D555" s="68"/>
      <c r="E555" s="69"/>
      <c r="F555" s="70"/>
      <c r="G555" s="67"/>
      <c r="H555" s="71"/>
      <c r="I555" s="72"/>
      <c r="J555" s="72"/>
      <c r="K555" s="36"/>
      <c r="L555" s="79">
        <v>555</v>
      </c>
      <c r="M555" s="79"/>
      <c r="N555" s="74"/>
      <c r="O555" s="81" t="s">
        <v>1235</v>
      </c>
    </row>
    <row r="556" spans="1:15" ht="15">
      <c r="A556" s="66" t="s">
        <v>200</v>
      </c>
      <c r="B556" s="66" t="s">
        <v>615</v>
      </c>
      <c r="C556" s="67"/>
      <c r="D556" s="68"/>
      <c r="E556" s="69"/>
      <c r="F556" s="70"/>
      <c r="G556" s="67"/>
      <c r="H556" s="71"/>
      <c r="I556" s="72"/>
      <c r="J556" s="72"/>
      <c r="K556" s="36"/>
      <c r="L556" s="79">
        <v>556</v>
      </c>
      <c r="M556" s="79"/>
      <c r="N556" s="74"/>
      <c r="O556" s="81" t="s">
        <v>1235</v>
      </c>
    </row>
    <row r="557" spans="1:15" ht="15">
      <c r="A557" s="66" t="s">
        <v>200</v>
      </c>
      <c r="B557" s="66" t="s">
        <v>616</v>
      </c>
      <c r="C557" s="67"/>
      <c r="D557" s="68"/>
      <c r="E557" s="69"/>
      <c r="F557" s="70"/>
      <c r="G557" s="67"/>
      <c r="H557" s="71"/>
      <c r="I557" s="72"/>
      <c r="J557" s="72"/>
      <c r="K557" s="36"/>
      <c r="L557" s="79">
        <v>557</v>
      </c>
      <c r="M557" s="79"/>
      <c r="N557" s="74"/>
      <c r="O557" s="81" t="s">
        <v>1235</v>
      </c>
    </row>
    <row r="558" spans="1:15" ht="15">
      <c r="A558" s="66" t="s">
        <v>200</v>
      </c>
      <c r="B558" s="66" t="s">
        <v>617</v>
      </c>
      <c r="C558" s="67"/>
      <c r="D558" s="68"/>
      <c r="E558" s="69"/>
      <c r="F558" s="70"/>
      <c r="G558" s="67"/>
      <c r="H558" s="71"/>
      <c r="I558" s="72"/>
      <c r="J558" s="72"/>
      <c r="K558" s="36"/>
      <c r="L558" s="79">
        <v>558</v>
      </c>
      <c r="M558" s="79"/>
      <c r="N558" s="74"/>
      <c r="O558" s="81" t="s">
        <v>1235</v>
      </c>
    </row>
    <row r="559" spans="1:15" ht="15">
      <c r="A559" s="66" t="s">
        <v>200</v>
      </c>
      <c r="B559" s="66" t="s">
        <v>618</v>
      </c>
      <c r="C559" s="67"/>
      <c r="D559" s="68"/>
      <c r="E559" s="69"/>
      <c r="F559" s="70"/>
      <c r="G559" s="67"/>
      <c r="H559" s="71"/>
      <c r="I559" s="72"/>
      <c r="J559" s="72"/>
      <c r="K559" s="36"/>
      <c r="L559" s="79">
        <v>559</v>
      </c>
      <c r="M559" s="79"/>
      <c r="N559" s="74"/>
      <c r="O559" s="81" t="s">
        <v>1235</v>
      </c>
    </row>
    <row r="560" spans="1:15" ht="15">
      <c r="A560" s="66" t="s">
        <v>200</v>
      </c>
      <c r="B560" s="66" t="s">
        <v>619</v>
      </c>
      <c r="C560" s="67"/>
      <c r="D560" s="68"/>
      <c r="E560" s="69"/>
      <c r="F560" s="70"/>
      <c r="G560" s="67"/>
      <c r="H560" s="71"/>
      <c r="I560" s="72"/>
      <c r="J560" s="72"/>
      <c r="K560" s="36"/>
      <c r="L560" s="79">
        <v>560</v>
      </c>
      <c r="M560" s="79"/>
      <c r="N560" s="74"/>
      <c r="O560" s="81" t="s">
        <v>1235</v>
      </c>
    </row>
    <row r="561" spans="1:15" ht="15">
      <c r="A561" s="66" t="s">
        <v>201</v>
      </c>
      <c r="B561" s="66" t="s">
        <v>620</v>
      </c>
      <c r="C561" s="67"/>
      <c r="D561" s="68"/>
      <c r="E561" s="69"/>
      <c r="F561" s="70"/>
      <c r="G561" s="67"/>
      <c r="H561" s="71"/>
      <c r="I561" s="72"/>
      <c r="J561" s="72"/>
      <c r="K561" s="36"/>
      <c r="L561" s="79">
        <v>561</v>
      </c>
      <c r="M561" s="79"/>
      <c r="N561" s="74"/>
      <c r="O561" s="81" t="s">
        <v>1235</v>
      </c>
    </row>
    <row r="562" spans="1:15" ht="15">
      <c r="A562" s="66" t="s">
        <v>201</v>
      </c>
      <c r="B562" s="66" t="s">
        <v>621</v>
      </c>
      <c r="C562" s="67"/>
      <c r="D562" s="68"/>
      <c r="E562" s="69"/>
      <c r="F562" s="70"/>
      <c r="G562" s="67"/>
      <c r="H562" s="71"/>
      <c r="I562" s="72"/>
      <c r="J562" s="72"/>
      <c r="K562" s="36"/>
      <c r="L562" s="79">
        <v>562</v>
      </c>
      <c r="M562" s="79"/>
      <c r="N562" s="74"/>
      <c r="O562" s="81" t="s">
        <v>1235</v>
      </c>
    </row>
    <row r="563" spans="1:15" ht="15">
      <c r="A563" s="66" t="s">
        <v>201</v>
      </c>
      <c r="B563" s="66" t="s">
        <v>622</v>
      </c>
      <c r="C563" s="67"/>
      <c r="D563" s="68"/>
      <c r="E563" s="69"/>
      <c r="F563" s="70"/>
      <c r="G563" s="67"/>
      <c r="H563" s="71"/>
      <c r="I563" s="72"/>
      <c r="J563" s="72"/>
      <c r="K563" s="36"/>
      <c r="L563" s="79">
        <v>563</v>
      </c>
      <c r="M563" s="79"/>
      <c r="N563" s="74"/>
      <c r="O563" s="81" t="s">
        <v>1235</v>
      </c>
    </row>
    <row r="564" spans="1:15" ht="15">
      <c r="A564" s="66" t="s">
        <v>201</v>
      </c>
      <c r="B564" s="66" t="s">
        <v>623</v>
      </c>
      <c r="C564" s="67"/>
      <c r="D564" s="68"/>
      <c r="E564" s="69"/>
      <c r="F564" s="70"/>
      <c r="G564" s="67"/>
      <c r="H564" s="71"/>
      <c r="I564" s="72"/>
      <c r="J564" s="72"/>
      <c r="K564" s="36"/>
      <c r="L564" s="79">
        <v>564</v>
      </c>
      <c r="M564" s="79"/>
      <c r="N564" s="74"/>
      <c r="O564" s="81" t="s">
        <v>1235</v>
      </c>
    </row>
    <row r="565" spans="1:15" ht="15">
      <c r="A565" s="66" t="s">
        <v>195</v>
      </c>
      <c r="B565" s="66" t="s">
        <v>624</v>
      </c>
      <c r="C565" s="67"/>
      <c r="D565" s="68"/>
      <c r="E565" s="69"/>
      <c r="F565" s="70"/>
      <c r="G565" s="67"/>
      <c r="H565" s="71"/>
      <c r="I565" s="72"/>
      <c r="J565" s="72"/>
      <c r="K565" s="36"/>
      <c r="L565" s="79">
        <v>565</v>
      </c>
      <c r="M565" s="79"/>
      <c r="N565" s="74"/>
      <c r="O565" s="81" t="s">
        <v>1235</v>
      </c>
    </row>
    <row r="566" spans="1:15" ht="15">
      <c r="A566" s="66" t="s">
        <v>201</v>
      </c>
      <c r="B566" s="66" t="s">
        <v>624</v>
      </c>
      <c r="C566" s="67"/>
      <c r="D566" s="68"/>
      <c r="E566" s="69"/>
      <c r="F566" s="70"/>
      <c r="G566" s="67"/>
      <c r="H566" s="71"/>
      <c r="I566" s="72"/>
      <c r="J566" s="72"/>
      <c r="K566" s="36"/>
      <c r="L566" s="79">
        <v>566</v>
      </c>
      <c r="M566" s="79"/>
      <c r="N566" s="74"/>
      <c r="O566" s="81" t="s">
        <v>1235</v>
      </c>
    </row>
    <row r="567" spans="1:15" ht="15">
      <c r="A567" s="66" t="s">
        <v>201</v>
      </c>
      <c r="B567" s="66" t="s">
        <v>625</v>
      </c>
      <c r="C567" s="67"/>
      <c r="D567" s="68"/>
      <c r="E567" s="69"/>
      <c r="F567" s="70"/>
      <c r="G567" s="67"/>
      <c r="H567" s="71"/>
      <c r="I567" s="72"/>
      <c r="J567" s="72"/>
      <c r="K567" s="36"/>
      <c r="L567" s="79">
        <v>567</v>
      </c>
      <c r="M567" s="79"/>
      <c r="N567" s="74"/>
      <c r="O567" s="81" t="s">
        <v>1235</v>
      </c>
    </row>
    <row r="568" spans="1:15" ht="15">
      <c r="A568" s="66" t="s">
        <v>201</v>
      </c>
      <c r="B568" s="66" t="s">
        <v>626</v>
      </c>
      <c r="C568" s="67"/>
      <c r="D568" s="68"/>
      <c r="E568" s="69"/>
      <c r="F568" s="70"/>
      <c r="G568" s="67"/>
      <c r="H568" s="71"/>
      <c r="I568" s="72"/>
      <c r="J568" s="72"/>
      <c r="K568" s="36"/>
      <c r="L568" s="79">
        <v>568</v>
      </c>
      <c r="M568" s="79"/>
      <c r="N568" s="74"/>
      <c r="O568" s="81" t="s">
        <v>1235</v>
      </c>
    </row>
    <row r="569" spans="1:15" ht="15">
      <c r="A569" s="66" t="s">
        <v>201</v>
      </c>
      <c r="B569" s="66" t="s">
        <v>627</v>
      </c>
      <c r="C569" s="67"/>
      <c r="D569" s="68"/>
      <c r="E569" s="69"/>
      <c r="F569" s="70"/>
      <c r="G569" s="67"/>
      <c r="H569" s="71"/>
      <c r="I569" s="72"/>
      <c r="J569" s="72"/>
      <c r="K569" s="36"/>
      <c r="L569" s="79">
        <v>569</v>
      </c>
      <c r="M569" s="79"/>
      <c r="N569" s="74"/>
      <c r="O569" s="81" t="s">
        <v>1235</v>
      </c>
    </row>
    <row r="570" spans="1:15" ht="15">
      <c r="A570" s="66" t="s">
        <v>201</v>
      </c>
      <c r="B570" s="66" t="s">
        <v>628</v>
      </c>
      <c r="C570" s="67"/>
      <c r="D570" s="68"/>
      <c r="E570" s="69"/>
      <c r="F570" s="70"/>
      <c r="G570" s="67"/>
      <c r="H570" s="71"/>
      <c r="I570" s="72"/>
      <c r="J570" s="72"/>
      <c r="K570" s="36"/>
      <c r="L570" s="79">
        <v>570</v>
      </c>
      <c r="M570" s="79"/>
      <c r="N570" s="74"/>
      <c r="O570" s="81" t="s">
        <v>1235</v>
      </c>
    </row>
    <row r="571" spans="1:15" ht="15">
      <c r="A571" s="66" t="s">
        <v>201</v>
      </c>
      <c r="B571" s="66" t="s">
        <v>629</v>
      </c>
      <c r="C571" s="67"/>
      <c r="D571" s="68"/>
      <c r="E571" s="69"/>
      <c r="F571" s="70"/>
      <c r="G571" s="67"/>
      <c r="H571" s="71"/>
      <c r="I571" s="72"/>
      <c r="J571" s="72"/>
      <c r="K571" s="36"/>
      <c r="L571" s="79">
        <v>571</v>
      </c>
      <c r="M571" s="79"/>
      <c r="N571" s="74"/>
      <c r="O571" s="81" t="s">
        <v>1235</v>
      </c>
    </row>
    <row r="572" spans="1:15" ht="15">
      <c r="A572" s="66" t="s">
        <v>201</v>
      </c>
      <c r="B572" s="66" t="s">
        <v>630</v>
      </c>
      <c r="C572" s="67"/>
      <c r="D572" s="68"/>
      <c r="E572" s="69"/>
      <c r="F572" s="70"/>
      <c r="G572" s="67"/>
      <c r="H572" s="71"/>
      <c r="I572" s="72"/>
      <c r="J572" s="72"/>
      <c r="K572" s="36"/>
      <c r="L572" s="79">
        <v>572</v>
      </c>
      <c r="M572" s="79"/>
      <c r="N572" s="74"/>
      <c r="O572" s="81" t="s">
        <v>1235</v>
      </c>
    </row>
    <row r="573" spans="1:15" ht="15">
      <c r="A573" s="66" t="s">
        <v>201</v>
      </c>
      <c r="B573" s="66" t="s">
        <v>631</v>
      </c>
      <c r="C573" s="67"/>
      <c r="D573" s="68"/>
      <c r="E573" s="69"/>
      <c r="F573" s="70"/>
      <c r="G573" s="67"/>
      <c r="H573" s="71"/>
      <c r="I573" s="72"/>
      <c r="J573" s="72"/>
      <c r="K573" s="36"/>
      <c r="L573" s="79">
        <v>573</v>
      </c>
      <c r="M573" s="79"/>
      <c r="N573" s="74"/>
      <c r="O573" s="81" t="s">
        <v>1235</v>
      </c>
    </row>
    <row r="574" spans="1:15" ht="15">
      <c r="A574" s="66" t="s">
        <v>201</v>
      </c>
      <c r="B574" s="66" t="s">
        <v>632</v>
      </c>
      <c r="C574" s="67"/>
      <c r="D574" s="68"/>
      <c r="E574" s="69"/>
      <c r="F574" s="70"/>
      <c r="G574" s="67"/>
      <c r="H574" s="71"/>
      <c r="I574" s="72"/>
      <c r="J574" s="72"/>
      <c r="K574" s="36"/>
      <c r="L574" s="79">
        <v>574</v>
      </c>
      <c r="M574" s="79"/>
      <c r="N574" s="74"/>
      <c r="O574" s="81" t="s">
        <v>1235</v>
      </c>
    </row>
    <row r="575" spans="1:15" ht="15">
      <c r="A575" s="66" t="s">
        <v>201</v>
      </c>
      <c r="B575" s="66" t="s">
        <v>633</v>
      </c>
      <c r="C575" s="67"/>
      <c r="D575" s="68"/>
      <c r="E575" s="69"/>
      <c r="F575" s="70"/>
      <c r="G575" s="67"/>
      <c r="H575" s="71"/>
      <c r="I575" s="72"/>
      <c r="J575" s="72"/>
      <c r="K575" s="36"/>
      <c r="L575" s="79">
        <v>575</v>
      </c>
      <c r="M575" s="79"/>
      <c r="N575" s="74"/>
      <c r="O575" s="81" t="s">
        <v>1235</v>
      </c>
    </row>
    <row r="576" spans="1:15" ht="15">
      <c r="A576" s="66" t="s">
        <v>195</v>
      </c>
      <c r="B576" s="66" t="s">
        <v>470</v>
      </c>
      <c r="C576" s="67"/>
      <c r="D576" s="68"/>
      <c r="E576" s="69"/>
      <c r="F576" s="70"/>
      <c r="G576" s="67"/>
      <c r="H576" s="71"/>
      <c r="I576" s="72"/>
      <c r="J576" s="72"/>
      <c r="K576" s="36"/>
      <c r="L576" s="79">
        <v>576</v>
      </c>
      <c r="M576" s="79"/>
      <c r="N576" s="74"/>
      <c r="O576" s="81" t="s">
        <v>1235</v>
      </c>
    </row>
    <row r="577" spans="1:15" ht="15">
      <c r="A577" s="66" t="s">
        <v>201</v>
      </c>
      <c r="B577" s="66" t="s">
        <v>470</v>
      </c>
      <c r="C577" s="67"/>
      <c r="D577" s="68"/>
      <c r="E577" s="69"/>
      <c r="F577" s="70"/>
      <c r="G577" s="67"/>
      <c r="H577" s="71"/>
      <c r="I577" s="72"/>
      <c r="J577" s="72"/>
      <c r="K577" s="36"/>
      <c r="L577" s="79">
        <v>577</v>
      </c>
      <c r="M577" s="79"/>
      <c r="N577" s="74"/>
      <c r="O577" s="81" t="s">
        <v>1235</v>
      </c>
    </row>
    <row r="578" spans="1:15" ht="15">
      <c r="A578" s="66" t="s">
        <v>201</v>
      </c>
      <c r="B578" s="66" t="s">
        <v>634</v>
      </c>
      <c r="C578" s="67"/>
      <c r="D578" s="68"/>
      <c r="E578" s="69"/>
      <c r="F578" s="70"/>
      <c r="G578" s="67"/>
      <c r="H578" s="71"/>
      <c r="I578" s="72"/>
      <c r="J578" s="72"/>
      <c r="K578" s="36"/>
      <c r="L578" s="79">
        <v>578</v>
      </c>
      <c r="M578" s="79"/>
      <c r="N578" s="74"/>
      <c r="O578" s="81" t="s">
        <v>1235</v>
      </c>
    </row>
    <row r="579" spans="1:15" ht="15">
      <c r="A579" s="66" t="s">
        <v>201</v>
      </c>
      <c r="B579" s="66" t="s">
        <v>635</v>
      </c>
      <c r="C579" s="67"/>
      <c r="D579" s="68"/>
      <c r="E579" s="69"/>
      <c r="F579" s="70"/>
      <c r="G579" s="67"/>
      <c r="H579" s="71"/>
      <c r="I579" s="72"/>
      <c r="J579" s="72"/>
      <c r="K579" s="36"/>
      <c r="L579" s="79">
        <v>579</v>
      </c>
      <c r="M579" s="79"/>
      <c r="N579" s="74"/>
      <c r="O579" s="81" t="s">
        <v>1235</v>
      </c>
    </row>
    <row r="580" spans="1:15" ht="15">
      <c r="A580" s="66" t="s">
        <v>201</v>
      </c>
      <c r="B580" s="66" t="s">
        <v>636</v>
      </c>
      <c r="C580" s="67"/>
      <c r="D580" s="68"/>
      <c r="E580" s="69"/>
      <c r="F580" s="70"/>
      <c r="G580" s="67"/>
      <c r="H580" s="71"/>
      <c r="I580" s="72"/>
      <c r="J580" s="72"/>
      <c r="K580" s="36"/>
      <c r="L580" s="79">
        <v>580</v>
      </c>
      <c r="M580" s="79"/>
      <c r="N580" s="74"/>
      <c r="O580" s="81" t="s">
        <v>1235</v>
      </c>
    </row>
    <row r="581" spans="1:15" ht="15">
      <c r="A581" s="66" t="s">
        <v>201</v>
      </c>
      <c r="B581" s="66" t="s">
        <v>637</v>
      </c>
      <c r="C581" s="67"/>
      <c r="D581" s="68"/>
      <c r="E581" s="69"/>
      <c r="F581" s="70"/>
      <c r="G581" s="67"/>
      <c r="H581" s="71"/>
      <c r="I581" s="72"/>
      <c r="J581" s="72"/>
      <c r="K581" s="36"/>
      <c r="L581" s="79">
        <v>581</v>
      </c>
      <c r="M581" s="79"/>
      <c r="N581" s="74"/>
      <c r="O581" s="81" t="s">
        <v>1235</v>
      </c>
    </row>
    <row r="582" spans="1:15" ht="15">
      <c r="A582" s="66" t="s">
        <v>201</v>
      </c>
      <c r="B582" s="66" t="s">
        <v>638</v>
      </c>
      <c r="C582" s="67"/>
      <c r="D582" s="68"/>
      <c r="E582" s="69"/>
      <c r="F582" s="70"/>
      <c r="G582" s="67"/>
      <c r="H582" s="71"/>
      <c r="I582" s="72"/>
      <c r="J582" s="72"/>
      <c r="K582" s="36"/>
      <c r="L582" s="79">
        <v>582</v>
      </c>
      <c r="M582" s="79"/>
      <c r="N582" s="74"/>
      <c r="O582" s="81" t="s">
        <v>1235</v>
      </c>
    </row>
    <row r="583" spans="1:15" ht="15">
      <c r="A583" s="66" t="s">
        <v>201</v>
      </c>
      <c r="B583" s="66" t="s">
        <v>639</v>
      </c>
      <c r="C583" s="67"/>
      <c r="D583" s="68"/>
      <c r="E583" s="69"/>
      <c r="F583" s="70"/>
      <c r="G583" s="67"/>
      <c r="H583" s="71"/>
      <c r="I583" s="72"/>
      <c r="J583" s="72"/>
      <c r="K583" s="36"/>
      <c r="L583" s="79">
        <v>583</v>
      </c>
      <c r="M583" s="79"/>
      <c r="N583" s="74"/>
      <c r="O583" s="81" t="s">
        <v>1235</v>
      </c>
    </row>
    <row r="584" spans="1:15" ht="15">
      <c r="A584" s="66" t="s">
        <v>201</v>
      </c>
      <c r="B584" s="66" t="s">
        <v>640</v>
      </c>
      <c r="C584" s="67"/>
      <c r="D584" s="68"/>
      <c r="E584" s="69"/>
      <c r="F584" s="70"/>
      <c r="G584" s="67"/>
      <c r="H584" s="71"/>
      <c r="I584" s="72"/>
      <c r="J584" s="72"/>
      <c r="K584" s="36"/>
      <c r="L584" s="79">
        <v>584</v>
      </c>
      <c r="M584" s="79"/>
      <c r="N584" s="74"/>
      <c r="O584" s="81" t="s">
        <v>1235</v>
      </c>
    </row>
    <row r="585" spans="1:15" ht="15">
      <c r="A585" s="66" t="s">
        <v>201</v>
      </c>
      <c r="B585" s="66" t="s">
        <v>641</v>
      </c>
      <c r="C585" s="67"/>
      <c r="D585" s="68"/>
      <c r="E585" s="69"/>
      <c r="F585" s="70"/>
      <c r="G585" s="67"/>
      <c r="H585" s="71"/>
      <c r="I585" s="72"/>
      <c r="J585" s="72"/>
      <c r="K585" s="36"/>
      <c r="L585" s="79">
        <v>585</v>
      </c>
      <c r="M585" s="79"/>
      <c r="N585" s="74"/>
      <c r="O585" s="81" t="s">
        <v>1235</v>
      </c>
    </row>
    <row r="586" spans="1:15" ht="15">
      <c r="A586" s="66" t="s">
        <v>201</v>
      </c>
      <c r="B586" s="66" t="s">
        <v>642</v>
      </c>
      <c r="C586" s="67"/>
      <c r="D586" s="68"/>
      <c r="E586" s="69"/>
      <c r="F586" s="70"/>
      <c r="G586" s="67"/>
      <c r="H586" s="71"/>
      <c r="I586" s="72"/>
      <c r="J586" s="72"/>
      <c r="K586" s="36"/>
      <c r="L586" s="79">
        <v>586</v>
      </c>
      <c r="M586" s="79"/>
      <c r="N586" s="74"/>
      <c r="O586" s="81" t="s">
        <v>1235</v>
      </c>
    </row>
    <row r="587" spans="1:15" ht="15">
      <c r="A587" s="66" t="s">
        <v>201</v>
      </c>
      <c r="B587" s="66" t="s">
        <v>643</v>
      </c>
      <c r="C587" s="67"/>
      <c r="D587" s="68"/>
      <c r="E587" s="69"/>
      <c r="F587" s="70"/>
      <c r="G587" s="67"/>
      <c r="H587" s="71"/>
      <c r="I587" s="72"/>
      <c r="J587" s="72"/>
      <c r="K587" s="36"/>
      <c r="L587" s="79">
        <v>587</v>
      </c>
      <c r="M587" s="79"/>
      <c r="N587" s="74"/>
      <c r="O587" s="81" t="s">
        <v>1235</v>
      </c>
    </row>
    <row r="588" spans="1:15" ht="15">
      <c r="A588" s="66" t="s">
        <v>201</v>
      </c>
      <c r="B588" s="66" t="s">
        <v>644</v>
      </c>
      <c r="C588" s="67"/>
      <c r="D588" s="68"/>
      <c r="E588" s="69"/>
      <c r="F588" s="70"/>
      <c r="G588" s="67"/>
      <c r="H588" s="71"/>
      <c r="I588" s="72"/>
      <c r="J588" s="72"/>
      <c r="K588" s="36"/>
      <c r="L588" s="79">
        <v>588</v>
      </c>
      <c r="M588" s="79"/>
      <c r="N588" s="74"/>
      <c r="O588" s="81" t="s">
        <v>1235</v>
      </c>
    </row>
    <row r="589" spans="1:15" ht="15">
      <c r="A589" s="66" t="s">
        <v>201</v>
      </c>
      <c r="B589" s="66" t="s">
        <v>645</v>
      </c>
      <c r="C589" s="67"/>
      <c r="D589" s="68"/>
      <c r="E589" s="69"/>
      <c r="F589" s="70"/>
      <c r="G589" s="67"/>
      <c r="H589" s="71"/>
      <c r="I589" s="72"/>
      <c r="J589" s="72"/>
      <c r="K589" s="36"/>
      <c r="L589" s="79">
        <v>589</v>
      </c>
      <c r="M589" s="79"/>
      <c r="N589" s="74"/>
      <c r="O589" s="81" t="s">
        <v>1235</v>
      </c>
    </row>
    <row r="590" spans="1:15" ht="15">
      <c r="A590" s="66" t="s">
        <v>190</v>
      </c>
      <c r="B590" s="66" t="s">
        <v>201</v>
      </c>
      <c r="C590" s="67"/>
      <c r="D590" s="68"/>
      <c r="E590" s="69"/>
      <c r="F590" s="70"/>
      <c r="G590" s="67"/>
      <c r="H590" s="71"/>
      <c r="I590" s="72"/>
      <c r="J590" s="72"/>
      <c r="K590" s="36"/>
      <c r="L590" s="79">
        <v>590</v>
      </c>
      <c r="M590" s="79"/>
      <c r="N590" s="74"/>
      <c r="O590" s="81" t="s">
        <v>1235</v>
      </c>
    </row>
    <row r="591" spans="1:15" ht="15">
      <c r="A591" s="66" t="s">
        <v>201</v>
      </c>
      <c r="B591" s="66" t="s">
        <v>646</v>
      </c>
      <c r="C591" s="67"/>
      <c r="D591" s="68"/>
      <c r="E591" s="69"/>
      <c r="F591" s="70"/>
      <c r="G591" s="67"/>
      <c r="H591" s="71"/>
      <c r="I591" s="72"/>
      <c r="J591" s="72"/>
      <c r="K591" s="36"/>
      <c r="L591" s="79">
        <v>591</v>
      </c>
      <c r="M591" s="79"/>
      <c r="N591" s="74"/>
      <c r="O591" s="81" t="s">
        <v>1235</v>
      </c>
    </row>
    <row r="592" spans="1:15" ht="15">
      <c r="A592" s="66" t="s">
        <v>201</v>
      </c>
      <c r="B592" s="66" t="s">
        <v>294</v>
      </c>
      <c r="C592" s="67"/>
      <c r="D592" s="68"/>
      <c r="E592" s="69"/>
      <c r="F592" s="70"/>
      <c r="G592" s="67"/>
      <c r="H592" s="71"/>
      <c r="I592" s="72"/>
      <c r="J592" s="72"/>
      <c r="K592" s="36"/>
      <c r="L592" s="79">
        <v>592</v>
      </c>
      <c r="M592" s="79"/>
      <c r="N592" s="74"/>
      <c r="O592" s="81" t="s">
        <v>1235</v>
      </c>
    </row>
    <row r="593" spans="1:15" ht="15">
      <c r="A593" s="66" t="s">
        <v>201</v>
      </c>
      <c r="B593" s="66" t="s">
        <v>203</v>
      </c>
      <c r="C593" s="67"/>
      <c r="D593" s="68"/>
      <c r="E593" s="69"/>
      <c r="F593" s="70"/>
      <c r="G593" s="67"/>
      <c r="H593" s="71"/>
      <c r="I593" s="72"/>
      <c r="J593" s="72"/>
      <c r="K593" s="36"/>
      <c r="L593" s="79">
        <v>593</v>
      </c>
      <c r="M593" s="79"/>
      <c r="N593" s="74"/>
      <c r="O593" s="81" t="s">
        <v>1235</v>
      </c>
    </row>
    <row r="594" spans="1:15" ht="15">
      <c r="A594" s="66" t="s">
        <v>201</v>
      </c>
      <c r="B594" s="66" t="s">
        <v>214</v>
      </c>
      <c r="C594" s="67"/>
      <c r="D594" s="68"/>
      <c r="E594" s="69"/>
      <c r="F594" s="70"/>
      <c r="G594" s="67"/>
      <c r="H594" s="71"/>
      <c r="I594" s="72"/>
      <c r="J594" s="72"/>
      <c r="K594" s="36"/>
      <c r="L594" s="79">
        <v>594</v>
      </c>
      <c r="M594" s="79"/>
      <c r="N594" s="74"/>
      <c r="O594" s="81" t="s">
        <v>1235</v>
      </c>
    </row>
    <row r="595" spans="1:15" ht="15">
      <c r="A595" s="66" t="s">
        <v>201</v>
      </c>
      <c r="B595" s="66" t="s">
        <v>223</v>
      </c>
      <c r="C595" s="67"/>
      <c r="D595" s="68"/>
      <c r="E595" s="69"/>
      <c r="F595" s="70"/>
      <c r="G595" s="67"/>
      <c r="H595" s="71"/>
      <c r="I595" s="72"/>
      <c r="J595" s="72"/>
      <c r="K595" s="36"/>
      <c r="L595" s="79">
        <v>595</v>
      </c>
      <c r="M595" s="79"/>
      <c r="N595" s="74"/>
      <c r="O595" s="81" t="s">
        <v>1235</v>
      </c>
    </row>
    <row r="596" spans="1:15" ht="15">
      <c r="A596" s="66" t="s">
        <v>201</v>
      </c>
      <c r="B596" s="66" t="s">
        <v>647</v>
      </c>
      <c r="C596" s="67"/>
      <c r="D596" s="68"/>
      <c r="E596" s="69"/>
      <c r="F596" s="70"/>
      <c r="G596" s="67"/>
      <c r="H596" s="71"/>
      <c r="I596" s="72"/>
      <c r="J596" s="72"/>
      <c r="K596" s="36"/>
      <c r="L596" s="79">
        <v>596</v>
      </c>
      <c r="M596" s="79"/>
      <c r="N596" s="74"/>
      <c r="O596" s="81" t="s">
        <v>1235</v>
      </c>
    </row>
    <row r="597" spans="1:15" ht="15">
      <c r="A597" s="66" t="s">
        <v>201</v>
      </c>
      <c r="B597" s="66" t="s">
        <v>484</v>
      </c>
      <c r="C597" s="67"/>
      <c r="D597" s="68"/>
      <c r="E597" s="69"/>
      <c r="F597" s="70"/>
      <c r="G597" s="67"/>
      <c r="H597" s="71"/>
      <c r="I597" s="72"/>
      <c r="J597" s="72"/>
      <c r="K597" s="36"/>
      <c r="L597" s="79">
        <v>597</v>
      </c>
      <c r="M597" s="79"/>
      <c r="N597" s="74"/>
      <c r="O597" s="81" t="s">
        <v>1235</v>
      </c>
    </row>
    <row r="598" spans="1:15" ht="15">
      <c r="A598" s="66" t="s">
        <v>201</v>
      </c>
      <c r="B598" s="66" t="s">
        <v>648</v>
      </c>
      <c r="C598" s="67"/>
      <c r="D598" s="68"/>
      <c r="E598" s="69"/>
      <c r="F598" s="70"/>
      <c r="G598" s="67"/>
      <c r="H598" s="71"/>
      <c r="I598" s="72"/>
      <c r="J598" s="72"/>
      <c r="K598" s="36"/>
      <c r="L598" s="79">
        <v>598</v>
      </c>
      <c r="M598" s="79"/>
      <c r="N598" s="74"/>
      <c r="O598" s="81" t="s">
        <v>1235</v>
      </c>
    </row>
    <row r="599" spans="1:15" ht="15">
      <c r="A599" s="66" t="s">
        <v>201</v>
      </c>
      <c r="B599" s="66" t="s">
        <v>649</v>
      </c>
      <c r="C599" s="67"/>
      <c r="D599" s="68"/>
      <c r="E599" s="69"/>
      <c r="F599" s="70"/>
      <c r="G599" s="67"/>
      <c r="H599" s="71"/>
      <c r="I599" s="72"/>
      <c r="J599" s="72"/>
      <c r="K599" s="36"/>
      <c r="L599" s="79">
        <v>599</v>
      </c>
      <c r="M599" s="79"/>
      <c r="N599" s="74"/>
      <c r="O599" s="81" t="s">
        <v>1235</v>
      </c>
    </row>
    <row r="600" spans="1:15" ht="15">
      <c r="A600" s="66" t="s">
        <v>201</v>
      </c>
      <c r="B600" s="66" t="s">
        <v>179</v>
      </c>
      <c r="C600" s="67"/>
      <c r="D600" s="68"/>
      <c r="E600" s="69"/>
      <c r="F600" s="70"/>
      <c r="G600" s="67"/>
      <c r="H600" s="71"/>
      <c r="I600" s="72"/>
      <c r="J600" s="72"/>
      <c r="K600" s="36"/>
      <c r="L600" s="79">
        <v>600</v>
      </c>
      <c r="M600" s="79"/>
      <c r="N600" s="74"/>
      <c r="O600" s="81" t="s">
        <v>1235</v>
      </c>
    </row>
    <row r="601" spans="1:15" ht="15">
      <c r="A601" s="66" t="s">
        <v>201</v>
      </c>
      <c r="B601" s="66" t="s">
        <v>221</v>
      </c>
      <c r="C601" s="67"/>
      <c r="D601" s="68"/>
      <c r="E601" s="69"/>
      <c r="F601" s="70"/>
      <c r="G601" s="67"/>
      <c r="H601" s="71"/>
      <c r="I601" s="72"/>
      <c r="J601" s="72"/>
      <c r="K601" s="36"/>
      <c r="L601" s="79">
        <v>601</v>
      </c>
      <c r="M601" s="79"/>
      <c r="N601" s="74"/>
      <c r="O601" s="81" t="s">
        <v>1235</v>
      </c>
    </row>
    <row r="602" spans="1:15" ht="15">
      <c r="A602" s="66" t="s">
        <v>201</v>
      </c>
      <c r="B602" s="66" t="s">
        <v>222</v>
      </c>
      <c r="C602" s="67"/>
      <c r="D602" s="68"/>
      <c r="E602" s="69"/>
      <c r="F602" s="70"/>
      <c r="G602" s="67"/>
      <c r="H602" s="71"/>
      <c r="I602" s="72"/>
      <c r="J602" s="72"/>
      <c r="K602" s="36"/>
      <c r="L602" s="79">
        <v>602</v>
      </c>
      <c r="M602" s="79"/>
      <c r="N602" s="74"/>
      <c r="O602" s="81" t="s">
        <v>1235</v>
      </c>
    </row>
    <row r="603" spans="1:15" ht="15">
      <c r="A603" s="66" t="s">
        <v>201</v>
      </c>
      <c r="B603" s="66" t="s">
        <v>220</v>
      </c>
      <c r="C603" s="67"/>
      <c r="D603" s="68"/>
      <c r="E603" s="69"/>
      <c r="F603" s="70"/>
      <c r="G603" s="67"/>
      <c r="H603" s="71"/>
      <c r="I603" s="72"/>
      <c r="J603" s="72"/>
      <c r="K603" s="36"/>
      <c r="L603" s="79">
        <v>603</v>
      </c>
      <c r="M603" s="79"/>
      <c r="N603" s="74"/>
      <c r="O603" s="81" t="s">
        <v>1235</v>
      </c>
    </row>
    <row r="604" spans="1:15" ht="15">
      <c r="A604" s="66" t="s">
        <v>201</v>
      </c>
      <c r="B604" s="66" t="s">
        <v>650</v>
      </c>
      <c r="C604" s="67"/>
      <c r="D604" s="68"/>
      <c r="E604" s="69"/>
      <c r="F604" s="70"/>
      <c r="G604" s="67"/>
      <c r="H604" s="71"/>
      <c r="I604" s="72"/>
      <c r="J604" s="72"/>
      <c r="K604" s="36"/>
      <c r="L604" s="79">
        <v>604</v>
      </c>
      <c r="M604" s="79"/>
      <c r="N604" s="74"/>
      <c r="O604" s="81" t="s">
        <v>1235</v>
      </c>
    </row>
    <row r="605" spans="1:15" ht="15">
      <c r="A605" s="66" t="s">
        <v>201</v>
      </c>
      <c r="B605" s="66" t="s">
        <v>345</v>
      </c>
      <c r="C605" s="67"/>
      <c r="D605" s="68"/>
      <c r="E605" s="69"/>
      <c r="F605" s="70"/>
      <c r="G605" s="67"/>
      <c r="H605" s="71"/>
      <c r="I605" s="72"/>
      <c r="J605" s="72"/>
      <c r="K605" s="36"/>
      <c r="L605" s="79">
        <v>605</v>
      </c>
      <c r="M605" s="79"/>
      <c r="N605" s="74"/>
      <c r="O605" s="81" t="s">
        <v>1235</v>
      </c>
    </row>
    <row r="606" spans="1:15" ht="15">
      <c r="A606" s="66" t="s">
        <v>201</v>
      </c>
      <c r="B606" s="66" t="s">
        <v>227</v>
      </c>
      <c r="C606" s="67"/>
      <c r="D606" s="68"/>
      <c r="E606" s="69"/>
      <c r="F606" s="70"/>
      <c r="G606" s="67"/>
      <c r="H606" s="71"/>
      <c r="I606" s="72"/>
      <c r="J606" s="72"/>
      <c r="K606" s="36"/>
      <c r="L606" s="79">
        <v>606</v>
      </c>
      <c r="M606" s="79"/>
      <c r="N606" s="74"/>
      <c r="O606" s="81" t="s">
        <v>1235</v>
      </c>
    </row>
    <row r="607" spans="1:15" ht="15">
      <c r="A607" s="66" t="s">
        <v>201</v>
      </c>
      <c r="B607" s="66" t="s">
        <v>180</v>
      </c>
      <c r="C607" s="67"/>
      <c r="D607" s="68"/>
      <c r="E607" s="69"/>
      <c r="F607" s="70"/>
      <c r="G607" s="67"/>
      <c r="H607" s="71"/>
      <c r="I607" s="72"/>
      <c r="J607" s="72"/>
      <c r="K607" s="36"/>
      <c r="L607" s="79">
        <v>607</v>
      </c>
      <c r="M607" s="79"/>
      <c r="N607" s="74"/>
      <c r="O607" s="81" t="s">
        <v>1235</v>
      </c>
    </row>
    <row r="608" spans="1:15" ht="15">
      <c r="A608" s="66" t="s">
        <v>201</v>
      </c>
      <c r="B608" s="66" t="s">
        <v>215</v>
      </c>
      <c r="C608" s="67"/>
      <c r="D608" s="68"/>
      <c r="E608" s="69"/>
      <c r="F608" s="70"/>
      <c r="G608" s="67"/>
      <c r="H608" s="71"/>
      <c r="I608" s="72"/>
      <c r="J608" s="72"/>
      <c r="K608" s="36"/>
      <c r="L608" s="79">
        <v>608</v>
      </c>
      <c r="M608" s="79"/>
      <c r="N608" s="74"/>
      <c r="O608" s="81" t="s">
        <v>1235</v>
      </c>
    </row>
    <row r="609" spans="1:15" ht="15">
      <c r="A609" s="66" t="s">
        <v>201</v>
      </c>
      <c r="B609" s="66" t="s">
        <v>651</v>
      </c>
      <c r="C609" s="67"/>
      <c r="D609" s="68"/>
      <c r="E609" s="69"/>
      <c r="F609" s="70"/>
      <c r="G609" s="67"/>
      <c r="H609" s="71"/>
      <c r="I609" s="72"/>
      <c r="J609" s="72"/>
      <c r="K609" s="36"/>
      <c r="L609" s="79">
        <v>609</v>
      </c>
      <c r="M609" s="79"/>
      <c r="N609" s="74"/>
      <c r="O609" s="81" t="s">
        <v>1235</v>
      </c>
    </row>
    <row r="610" spans="1:15" ht="15">
      <c r="A610" s="66" t="s">
        <v>201</v>
      </c>
      <c r="B610" s="66" t="s">
        <v>652</v>
      </c>
      <c r="C610" s="67"/>
      <c r="D610" s="68"/>
      <c r="E610" s="69"/>
      <c r="F610" s="70"/>
      <c r="G610" s="67"/>
      <c r="H610" s="71"/>
      <c r="I610" s="72"/>
      <c r="J610" s="72"/>
      <c r="K610" s="36"/>
      <c r="L610" s="79">
        <v>610</v>
      </c>
      <c r="M610" s="79"/>
      <c r="N610" s="74"/>
      <c r="O610" s="81" t="s">
        <v>1235</v>
      </c>
    </row>
    <row r="611" spans="1:15" ht="15">
      <c r="A611" s="66" t="s">
        <v>201</v>
      </c>
      <c r="B611" s="66" t="s">
        <v>218</v>
      </c>
      <c r="C611" s="67"/>
      <c r="D611" s="68"/>
      <c r="E611" s="69"/>
      <c r="F611" s="70"/>
      <c r="G611" s="67"/>
      <c r="H611" s="71"/>
      <c r="I611" s="72"/>
      <c r="J611" s="72"/>
      <c r="K611" s="36"/>
      <c r="L611" s="79">
        <v>611</v>
      </c>
      <c r="M611" s="79"/>
      <c r="N611" s="74"/>
      <c r="O611" s="81" t="s">
        <v>1235</v>
      </c>
    </row>
    <row r="612" spans="1:15" ht="15">
      <c r="A612" s="66" t="s">
        <v>201</v>
      </c>
      <c r="B612" s="66" t="s">
        <v>349</v>
      </c>
      <c r="C612" s="67"/>
      <c r="D612" s="68"/>
      <c r="E612" s="69"/>
      <c r="F612" s="70"/>
      <c r="G612" s="67"/>
      <c r="H612" s="71"/>
      <c r="I612" s="72"/>
      <c r="J612" s="72"/>
      <c r="K612" s="36"/>
      <c r="L612" s="79">
        <v>612</v>
      </c>
      <c r="M612" s="79"/>
      <c r="N612" s="74"/>
      <c r="O612" s="81" t="s">
        <v>1235</v>
      </c>
    </row>
    <row r="613" spans="1:15" ht="15">
      <c r="A613" s="66" t="s">
        <v>188</v>
      </c>
      <c r="B613" s="66" t="s">
        <v>653</v>
      </c>
      <c r="C613" s="67"/>
      <c r="D613" s="68"/>
      <c r="E613" s="69"/>
      <c r="F613" s="70"/>
      <c r="G613" s="67"/>
      <c r="H613" s="71"/>
      <c r="I613" s="72"/>
      <c r="J613" s="72"/>
      <c r="K613" s="36"/>
      <c r="L613" s="79">
        <v>613</v>
      </c>
      <c r="M613" s="79"/>
      <c r="N613" s="74"/>
      <c r="O613" s="81" t="s">
        <v>1235</v>
      </c>
    </row>
    <row r="614" spans="1:15" ht="15">
      <c r="A614" s="66" t="s">
        <v>202</v>
      </c>
      <c r="B614" s="66" t="s">
        <v>653</v>
      </c>
      <c r="C614" s="67"/>
      <c r="D614" s="68"/>
      <c r="E614" s="69"/>
      <c r="F614" s="70"/>
      <c r="G614" s="67"/>
      <c r="H614" s="71"/>
      <c r="I614" s="72"/>
      <c r="J614" s="72"/>
      <c r="K614" s="36"/>
      <c r="L614" s="79">
        <v>614</v>
      </c>
      <c r="M614" s="79"/>
      <c r="N614" s="74"/>
      <c r="O614" s="81" t="s">
        <v>1235</v>
      </c>
    </row>
    <row r="615" spans="1:15" ht="15">
      <c r="A615" s="66" t="s">
        <v>202</v>
      </c>
      <c r="B615" s="66" t="s">
        <v>654</v>
      </c>
      <c r="C615" s="67"/>
      <c r="D615" s="68"/>
      <c r="E615" s="69"/>
      <c r="F615" s="70"/>
      <c r="G615" s="67"/>
      <c r="H615" s="71"/>
      <c r="I615" s="72"/>
      <c r="J615" s="72"/>
      <c r="K615" s="36"/>
      <c r="L615" s="79">
        <v>615</v>
      </c>
      <c r="M615" s="79"/>
      <c r="N615" s="74"/>
      <c r="O615" s="81" t="s">
        <v>1235</v>
      </c>
    </row>
    <row r="616" spans="1:15" ht="15">
      <c r="A616" s="66" t="s">
        <v>188</v>
      </c>
      <c r="B616" s="66" t="s">
        <v>655</v>
      </c>
      <c r="C616" s="67"/>
      <c r="D616" s="68"/>
      <c r="E616" s="69"/>
      <c r="F616" s="70"/>
      <c r="G616" s="67"/>
      <c r="H616" s="71"/>
      <c r="I616" s="72"/>
      <c r="J616" s="72"/>
      <c r="K616" s="36"/>
      <c r="L616" s="79">
        <v>616</v>
      </c>
      <c r="M616" s="79"/>
      <c r="N616" s="74"/>
      <c r="O616" s="81" t="s">
        <v>1235</v>
      </c>
    </row>
    <row r="617" spans="1:15" ht="15">
      <c r="A617" s="66" t="s">
        <v>202</v>
      </c>
      <c r="B617" s="66" t="s">
        <v>655</v>
      </c>
      <c r="C617" s="67"/>
      <c r="D617" s="68"/>
      <c r="E617" s="69"/>
      <c r="F617" s="70"/>
      <c r="G617" s="67"/>
      <c r="H617" s="71"/>
      <c r="I617" s="72"/>
      <c r="J617" s="72"/>
      <c r="K617" s="36"/>
      <c r="L617" s="79">
        <v>617</v>
      </c>
      <c r="M617" s="79"/>
      <c r="N617" s="74"/>
      <c r="O617" s="81" t="s">
        <v>1235</v>
      </c>
    </row>
    <row r="618" spans="1:15" ht="15">
      <c r="A618" s="66" t="s">
        <v>202</v>
      </c>
      <c r="B618" s="66" t="s">
        <v>656</v>
      </c>
      <c r="C618" s="67"/>
      <c r="D618" s="68"/>
      <c r="E618" s="69"/>
      <c r="F618" s="70"/>
      <c r="G618" s="67"/>
      <c r="H618" s="71"/>
      <c r="I618" s="72"/>
      <c r="J618" s="72"/>
      <c r="K618" s="36"/>
      <c r="L618" s="79">
        <v>618</v>
      </c>
      <c r="M618" s="79"/>
      <c r="N618" s="74"/>
      <c r="O618" s="81" t="s">
        <v>1235</v>
      </c>
    </row>
    <row r="619" spans="1:15" ht="15">
      <c r="A619" s="66" t="s">
        <v>188</v>
      </c>
      <c r="B619" s="66" t="s">
        <v>657</v>
      </c>
      <c r="C619" s="67"/>
      <c r="D619" s="68"/>
      <c r="E619" s="69"/>
      <c r="F619" s="70"/>
      <c r="G619" s="67"/>
      <c r="H619" s="71"/>
      <c r="I619" s="72"/>
      <c r="J619" s="72"/>
      <c r="K619" s="36"/>
      <c r="L619" s="79">
        <v>619</v>
      </c>
      <c r="M619" s="79"/>
      <c r="N619" s="74"/>
      <c r="O619" s="81" t="s">
        <v>1235</v>
      </c>
    </row>
    <row r="620" spans="1:15" ht="15">
      <c r="A620" s="66" t="s">
        <v>202</v>
      </c>
      <c r="B620" s="66" t="s">
        <v>657</v>
      </c>
      <c r="C620" s="67"/>
      <c r="D620" s="68"/>
      <c r="E620" s="69"/>
      <c r="F620" s="70"/>
      <c r="G620" s="67"/>
      <c r="H620" s="71"/>
      <c r="I620" s="72"/>
      <c r="J620" s="72"/>
      <c r="K620" s="36"/>
      <c r="L620" s="79">
        <v>620</v>
      </c>
      <c r="M620" s="79"/>
      <c r="N620" s="74"/>
      <c r="O620" s="81" t="s">
        <v>1235</v>
      </c>
    </row>
    <row r="621" spans="1:15" ht="15">
      <c r="A621" s="66" t="s">
        <v>188</v>
      </c>
      <c r="B621" s="66" t="s">
        <v>658</v>
      </c>
      <c r="C621" s="67"/>
      <c r="D621" s="68"/>
      <c r="E621" s="69"/>
      <c r="F621" s="70"/>
      <c r="G621" s="67"/>
      <c r="H621" s="71"/>
      <c r="I621" s="72"/>
      <c r="J621" s="72"/>
      <c r="K621" s="36"/>
      <c r="L621" s="79">
        <v>621</v>
      </c>
      <c r="M621" s="79"/>
      <c r="N621" s="74"/>
      <c r="O621" s="81" t="s">
        <v>1235</v>
      </c>
    </row>
    <row r="622" spans="1:15" ht="15">
      <c r="A622" s="66" t="s">
        <v>202</v>
      </c>
      <c r="B622" s="66" t="s">
        <v>658</v>
      </c>
      <c r="C622" s="67"/>
      <c r="D622" s="68"/>
      <c r="E622" s="69"/>
      <c r="F622" s="70"/>
      <c r="G622" s="67"/>
      <c r="H622" s="71"/>
      <c r="I622" s="72"/>
      <c r="J622" s="72"/>
      <c r="K622" s="36"/>
      <c r="L622" s="79">
        <v>622</v>
      </c>
      <c r="M622" s="79"/>
      <c r="N622" s="74"/>
      <c r="O622" s="81" t="s">
        <v>1235</v>
      </c>
    </row>
    <row r="623" spans="1:15" ht="15">
      <c r="A623" s="66" t="s">
        <v>202</v>
      </c>
      <c r="B623" s="66" t="s">
        <v>527</v>
      </c>
      <c r="C623" s="67"/>
      <c r="D623" s="68"/>
      <c r="E623" s="69"/>
      <c r="F623" s="70"/>
      <c r="G623" s="67"/>
      <c r="H623" s="71"/>
      <c r="I623" s="72"/>
      <c r="J623" s="72"/>
      <c r="K623" s="36"/>
      <c r="L623" s="79">
        <v>623</v>
      </c>
      <c r="M623" s="79"/>
      <c r="N623" s="74"/>
      <c r="O623" s="81" t="s">
        <v>1235</v>
      </c>
    </row>
    <row r="624" spans="1:15" ht="15">
      <c r="A624" s="66" t="s">
        <v>202</v>
      </c>
      <c r="B624" s="66" t="s">
        <v>659</v>
      </c>
      <c r="C624" s="67"/>
      <c r="D624" s="68"/>
      <c r="E624" s="69"/>
      <c r="F624" s="70"/>
      <c r="G624" s="67"/>
      <c r="H624" s="71"/>
      <c r="I624" s="72"/>
      <c r="J624" s="72"/>
      <c r="K624" s="36"/>
      <c r="L624" s="79">
        <v>624</v>
      </c>
      <c r="M624" s="79"/>
      <c r="N624" s="74"/>
      <c r="O624" s="81" t="s">
        <v>1235</v>
      </c>
    </row>
    <row r="625" spans="1:15" ht="15">
      <c r="A625" s="66" t="s">
        <v>188</v>
      </c>
      <c r="B625" s="66" t="s">
        <v>660</v>
      </c>
      <c r="C625" s="67"/>
      <c r="D625" s="68"/>
      <c r="E625" s="69"/>
      <c r="F625" s="70"/>
      <c r="G625" s="67"/>
      <c r="H625" s="71"/>
      <c r="I625" s="72"/>
      <c r="J625" s="72"/>
      <c r="K625" s="36"/>
      <c r="L625" s="79">
        <v>625</v>
      </c>
      <c r="M625" s="79"/>
      <c r="N625" s="74"/>
      <c r="O625" s="81" t="s">
        <v>1235</v>
      </c>
    </row>
    <row r="626" spans="1:15" ht="15">
      <c r="A626" s="66" t="s">
        <v>202</v>
      </c>
      <c r="B626" s="66" t="s">
        <v>660</v>
      </c>
      <c r="C626" s="67"/>
      <c r="D626" s="68"/>
      <c r="E626" s="69"/>
      <c r="F626" s="70"/>
      <c r="G626" s="67"/>
      <c r="H626" s="71"/>
      <c r="I626" s="72"/>
      <c r="J626" s="72"/>
      <c r="K626" s="36"/>
      <c r="L626" s="79">
        <v>626</v>
      </c>
      <c r="M626" s="79"/>
      <c r="N626" s="74"/>
      <c r="O626" s="81" t="s">
        <v>1235</v>
      </c>
    </row>
    <row r="627" spans="1:15" ht="15">
      <c r="A627" s="66" t="s">
        <v>188</v>
      </c>
      <c r="B627" s="66" t="s">
        <v>661</v>
      </c>
      <c r="C627" s="67"/>
      <c r="D627" s="68"/>
      <c r="E627" s="69"/>
      <c r="F627" s="70"/>
      <c r="G627" s="67"/>
      <c r="H627" s="71"/>
      <c r="I627" s="72"/>
      <c r="J627" s="72"/>
      <c r="K627" s="36"/>
      <c r="L627" s="79">
        <v>627</v>
      </c>
      <c r="M627" s="79"/>
      <c r="N627" s="74"/>
      <c r="O627" s="81" t="s">
        <v>1235</v>
      </c>
    </row>
    <row r="628" spans="1:15" ht="15">
      <c r="A628" s="66" t="s">
        <v>202</v>
      </c>
      <c r="B628" s="66" t="s">
        <v>661</v>
      </c>
      <c r="C628" s="67"/>
      <c r="D628" s="68"/>
      <c r="E628" s="69"/>
      <c r="F628" s="70"/>
      <c r="G628" s="67"/>
      <c r="H628" s="71"/>
      <c r="I628" s="72"/>
      <c r="J628" s="72"/>
      <c r="K628" s="36"/>
      <c r="L628" s="79">
        <v>628</v>
      </c>
      <c r="M628" s="79"/>
      <c r="N628" s="74"/>
      <c r="O628" s="81" t="s">
        <v>1235</v>
      </c>
    </row>
    <row r="629" spans="1:15" ht="15">
      <c r="A629" s="66" t="s">
        <v>202</v>
      </c>
      <c r="B629" s="66" t="s">
        <v>662</v>
      </c>
      <c r="C629" s="67"/>
      <c r="D629" s="68"/>
      <c r="E629" s="69"/>
      <c r="F629" s="70"/>
      <c r="G629" s="67"/>
      <c r="H629" s="71"/>
      <c r="I629" s="72"/>
      <c r="J629" s="72"/>
      <c r="K629" s="36"/>
      <c r="L629" s="79">
        <v>629</v>
      </c>
      <c r="M629" s="79"/>
      <c r="N629" s="74"/>
      <c r="O629" s="81" t="s">
        <v>1235</v>
      </c>
    </row>
    <row r="630" spans="1:15" ht="15">
      <c r="A630" s="66" t="s">
        <v>202</v>
      </c>
      <c r="B630" s="66" t="s">
        <v>663</v>
      </c>
      <c r="C630" s="67"/>
      <c r="D630" s="68"/>
      <c r="E630" s="69"/>
      <c r="F630" s="70"/>
      <c r="G630" s="67"/>
      <c r="H630" s="71"/>
      <c r="I630" s="72"/>
      <c r="J630" s="72"/>
      <c r="K630" s="36"/>
      <c r="L630" s="79">
        <v>630</v>
      </c>
      <c r="M630" s="79"/>
      <c r="N630" s="74"/>
      <c r="O630" s="81" t="s">
        <v>1235</v>
      </c>
    </row>
    <row r="631" spans="1:15" ht="15">
      <c r="A631" s="66" t="s">
        <v>188</v>
      </c>
      <c r="B631" s="66" t="s">
        <v>664</v>
      </c>
      <c r="C631" s="67"/>
      <c r="D631" s="68"/>
      <c r="E631" s="69"/>
      <c r="F631" s="70"/>
      <c r="G631" s="67"/>
      <c r="H631" s="71"/>
      <c r="I631" s="72"/>
      <c r="J631" s="72"/>
      <c r="K631" s="36"/>
      <c r="L631" s="79">
        <v>631</v>
      </c>
      <c r="M631" s="79"/>
      <c r="N631" s="74"/>
      <c r="O631" s="81" t="s">
        <v>1235</v>
      </c>
    </row>
    <row r="632" spans="1:15" ht="15">
      <c r="A632" s="66" t="s">
        <v>202</v>
      </c>
      <c r="B632" s="66" t="s">
        <v>664</v>
      </c>
      <c r="C632" s="67"/>
      <c r="D632" s="68"/>
      <c r="E632" s="69"/>
      <c r="F632" s="70"/>
      <c r="G632" s="67"/>
      <c r="H632" s="71"/>
      <c r="I632" s="72"/>
      <c r="J632" s="72"/>
      <c r="K632" s="36"/>
      <c r="L632" s="79">
        <v>632</v>
      </c>
      <c r="M632" s="79"/>
      <c r="N632" s="74"/>
      <c r="O632" s="81" t="s">
        <v>1235</v>
      </c>
    </row>
    <row r="633" spans="1:15" ht="15">
      <c r="A633" s="66" t="s">
        <v>202</v>
      </c>
      <c r="B633" s="66" t="s">
        <v>468</v>
      </c>
      <c r="C633" s="67"/>
      <c r="D633" s="68"/>
      <c r="E633" s="69"/>
      <c r="F633" s="70"/>
      <c r="G633" s="67"/>
      <c r="H633" s="71"/>
      <c r="I633" s="72"/>
      <c r="J633" s="72"/>
      <c r="K633" s="36"/>
      <c r="L633" s="79">
        <v>633</v>
      </c>
      <c r="M633" s="79"/>
      <c r="N633" s="74"/>
      <c r="O633" s="81" t="s">
        <v>1235</v>
      </c>
    </row>
    <row r="634" spans="1:15" ht="15">
      <c r="A634" s="66" t="s">
        <v>202</v>
      </c>
      <c r="B634" s="66" t="s">
        <v>665</v>
      </c>
      <c r="C634" s="67"/>
      <c r="D634" s="68"/>
      <c r="E634" s="69"/>
      <c r="F634" s="70"/>
      <c r="G634" s="67"/>
      <c r="H634" s="71"/>
      <c r="I634" s="72"/>
      <c r="J634" s="72"/>
      <c r="K634" s="36"/>
      <c r="L634" s="79">
        <v>634</v>
      </c>
      <c r="M634" s="79"/>
      <c r="N634" s="74"/>
      <c r="O634" s="81" t="s">
        <v>1235</v>
      </c>
    </row>
    <row r="635" spans="1:15" ht="15">
      <c r="A635" s="66" t="s">
        <v>188</v>
      </c>
      <c r="B635" s="66" t="s">
        <v>666</v>
      </c>
      <c r="C635" s="67"/>
      <c r="D635" s="68"/>
      <c r="E635" s="69"/>
      <c r="F635" s="70"/>
      <c r="G635" s="67"/>
      <c r="H635" s="71"/>
      <c r="I635" s="72"/>
      <c r="J635" s="72"/>
      <c r="K635" s="36"/>
      <c r="L635" s="79">
        <v>635</v>
      </c>
      <c r="M635" s="79"/>
      <c r="N635" s="74"/>
      <c r="O635" s="81" t="s">
        <v>1235</v>
      </c>
    </row>
    <row r="636" spans="1:15" ht="15">
      <c r="A636" s="66" t="s">
        <v>202</v>
      </c>
      <c r="B636" s="66" t="s">
        <v>666</v>
      </c>
      <c r="C636" s="67"/>
      <c r="D636" s="68"/>
      <c r="E636" s="69"/>
      <c r="F636" s="70"/>
      <c r="G636" s="67"/>
      <c r="H636" s="71"/>
      <c r="I636" s="72"/>
      <c r="J636" s="72"/>
      <c r="K636" s="36"/>
      <c r="L636" s="79">
        <v>636</v>
      </c>
      <c r="M636" s="79"/>
      <c r="N636" s="74"/>
      <c r="O636" s="81" t="s">
        <v>1235</v>
      </c>
    </row>
    <row r="637" spans="1:15" ht="15">
      <c r="A637" s="66" t="s">
        <v>202</v>
      </c>
      <c r="B637" s="66" t="s">
        <v>667</v>
      </c>
      <c r="C637" s="67"/>
      <c r="D637" s="68"/>
      <c r="E637" s="69"/>
      <c r="F637" s="70"/>
      <c r="G637" s="67"/>
      <c r="H637" s="71"/>
      <c r="I637" s="72"/>
      <c r="J637" s="72"/>
      <c r="K637" s="36"/>
      <c r="L637" s="79">
        <v>637</v>
      </c>
      <c r="M637" s="79"/>
      <c r="N637" s="74"/>
      <c r="O637" s="81" t="s">
        <v>1235</v>
      </c>
    </row>
    <row r="638" spans="1:15" ht="15">
      <c r="A638" s="66" t="s">
        <v>202</v>
      </c>
      <c r="B638" s="66" t="s">
        <v>668</v>
      </c>
      <c r="C638" s="67"/>
      <c r="D638" s="68"/>
      <c r="E638" s="69"/>
      <c r="F638" s="70"/>
      <c r="G638" s="67"/>
      <c r="H638" s="71"/>
      <c r="I638" s="72"/>
      <c r="J638" s="72"/>
      <c r="K638" s="36"/>
      <c r="L638" s="79">
        <v>638</v>
      </c>
      <c r="M638" s="79"/>
      <c r="N638" s="74"/>
      <c r="O638" s="81" t="s">
        <v>1235</v>
      </c>
    </row>
    <row r="639" spans="1:15" ht="15">
      <c r="A639" s="66" t="s">
        <v>202</v>
      </c>
      <c r="B639" s="66" t="s">
        <v>669</v>
      </c>
      <c r="C639" s="67"/>
      <c r="D639" s="68"/>
      <c r="E639" s="69"/>
      <c r="F639" s="70"/>
      <c r="G639" s="67"/>
      <c r="H639" s="71"/>
      <c r="I639" s="72"/>
      <c r="J639" s="72"/>
      <c r="K639" s="36"/>
      <c r="L639" s="79">
        <v>639</v>
      </c>
      <c r="M639" s="79"/>
      <c r="N639" s="74"/>
      <c r="O639" s="81" t="s">
        <v>1235</v>
      </c>
    </row>
    <row r="640" spans="1:15" ht="15">
      <c r="A640" s="66" t="s">
        <v>202</v>
      </c>
      <c r="B640" s="66" t="s">
        <v>670</v>
      </c>
      <c r="C640" s="67"/>
      <c r="D640" s="68"/>
      <c r="E640" s="69"/>
      <c r="F640" s="70"/>
      <c r="G640" s="67"/>
      <c r="H640" s="71"/>
      <c r="I640" s="72"/>
      <c r="J640" s="72"/>
      <c r="K640" s="36"/>
      <c r="L640" s="79">
        <v>640</v>
      </c>
      <c r="M640" s="79"/>
      <c r="N640" s="74"/>
      <c r="O640" s="81" t="s">
        <v>1235</v>
      </c>
    </row>
    <row r="641" spans="1:15" ht="15">
      <c r="A641" s="66" t="s">
        <v>202</v>
      </c>
      <c r="B641" s="66" t="s">
        <v>671</v>
      </c>
      <c r="C641" s="67"/>
      <c r="D641" s="68"/>
      <c r="E641" s="69"/>
      <c r="F641" s="70"/>
      <c r="G641" s="67"/>
      <c r="H641" s="71"/>
      <c r="I641" s="72"/>
      <c r="J641" s="72"/>
      <c r="K641" s="36"/>
      <c r="L641" s="79">
        <v>641</v>
      </c>
      <c r="M641" s="79"/>
      <c r="N641" s="74"/>
      <c r="O641" s="81" t="s">
        <v>1235</v>
      </c>
    </row>
    <row r="642" spans="1:15" ht="15">
      <c r="A642" s="66" t="s">
        <v>179</v>
      </c>
      <c r="B642" s="66" t="s">
        <v>180</v>
      </c>
      <c r="C642" s="67"/>
      <c r="D642" s="68"/>
      <c r="E642" s="69"/>
      <c r="F642" s="70"/>
      <c r="G642" s="67"/>
      <c r="H642" s="71"/>
      <c r="I642" s="72"/>
      <c r="J642" s="72"/>
      <c r="K642" s="36"/>
      <c r="L642" s="79">
        <v>642</v>
      </c>
      <c r="M642" s="79"/>
      <c r="N642" s="74"/>
      <c r="O642" s="81" t="s">
        <v>1235</v>
      </c>
    </row>
    <row r="643" spans="1:15" ht="15">
      <c r="A643" s="66" t="s">
        <v>180</v>
      </c>
      <c r="B643" s="66" t="s">
        <v>216</v>
      </c>
      <c r="C643" s="67"/>
      <c r="D643" s="68"/>
      <c r="E643" s="69"/>
      <c r="F643" s="70"/>
      <c r="G643" s="67"/>
      <c r="H643" s="71"/>
      <c r="I643" s="72"/>
      <c r="J643" s="72"/>
      <c r="K643" s="36"/>
      <c r="L643" s="79">
        <v>643</v>
      </c>
      <c r="M643" s="79"/>
      <c r="N643" s="74"/>
      <c r="O643" s="81" t="s">
        <v>1235</v>
      </c>
    </row>
    <row r="644" spans="1:15" ht="15">
      <c r="A644" s="66" t="s">
        <v>180</v>
      </c>
      <c r="B644" s="66" t="s">
        <v>672</v>
      </c>
      <c r="C644" s="67"/>
      <c r="D644" s="68"/>
      <c r="E644" s="69"/>
      <c r="F644" s="70"/>
      <c r="G644" s="67"/>
      <c r="H644" s="71"/>
      <c r="I644" s="72"/>
      <c r="J644" s="72"/>
      <c r="K644" s="36"/>
      <c r="L644" s="79">
        <v>644</v>
      </c>
      <c r="M644" s="79"/>
      <c r="N644" s="74"/>
      <c r="O644" s="81" t="s">
        <v>1235</v>
      </c>
    </row>
    <row r="645" spans="1:15" ht="15">
      <c r="A645" s="66" t="s">
        <v>180</v>
      </c>
      <c r="B645" s="66" t="s">
        <v>673</v>
      </c>
      <c r="C645" s="67"/>
      <c r="D645" s="68"/>
      <c r="E645" s="69"/>
      <c r="F645" s="70"/>
      <c r="G645" s="67"/>
      <c r="H645" s="71"/>
      <c r="I645" s="72"/>
      <c r="J645" s="72"/>
      <c r="K645" s="36"/>
      <c r="L645" s="79">
        <v>645</v>
      </c>
      <c r="M645" s="79"/>
      <c r="N645" s="74"/>
      <c r="O645" s="81" t="s">
        <v>1235</v>
      </c>
    </row>
    <row r="646" spans="1:15" ht="15">
      <c r="A646" s="66" t="s">
        <v>180</v>
      </c>
      <c r="B646" s="66" t="s">
        <v>674</v>
      </c>
      <c r="C646" s="67"/>
      <c r="D646" s="68"/>
      <c r="E646" s="69"/>
      <c r="F646" s="70"/>
      <c r="G646" s="67"/>
      <c r="H646" s="71"/>
      <c r="I646" s="72"/>
      <c r="J646" s="72"/>
      <c r="K646" s="36"/>
      <c r="L646" s="79">
        <v>646</v>
      </c>
      <c r="M646" s="79"/>
      <c r="N646" s="74"/>
      <c r="O646" s="81" t="s">
        <v>1235</v>
      </c>
    </row>
    <row r="647" spans="1:15" ht="15">
      <c r="A647" s="66" t="s">
        <v>180</v>
      </c>
      <c r="B647" s="66" t="s">
        <v>675</v>
      </c>
      <c r="C647" s="67"/>
      <c r="D647" s="68"/>
      <c r="E647" s="69"/>
      <c r="F647" s="70"/>
      <c r="G647" s="67"/>
      <c r="H647" s="71"/>
      <c r="I647" s="72"/>
      <c r="J647" s="72"/>
      <c r="K647" s="36"/>
      <c r="L647" s="79">
        <v>647</v>
      </c>
      <c r="M647" s="79"/>
      <c r="N647" s="74"/>
      <c r="O647" s="81" t="s">
        <v>1235</v>
      </c>
    </row>
    <row r="648" spans="1:15" ht="15">
      <c r="A648" s="66" t="s">
        <v>180</v>
      </c>
      <c r="B648" s="66" t="s">
        <v>676</v>
      </c>
      <c r="C648" s="67"/>
      <c r="D648" s="68"/>
      <c r="E648" s="69"/>
      <c r="F648" s="70"/>
      <c r="G648" s="67"/>
      <c r="H648" s="71"/>
      <c r="I648" s="72"/>
      <c r="J648" s="72"/>
      <c r="K648" s="36"/>
      <c r="L648" s="79">
        <v>648</v>
      </c>
      <c r="M648" s="79"/>
      <c r="N648" s="74"/>
      <c r="O648" s="81" t="s">
        <v>1235</v>
      </c>
    </row>
    <row r="649" spans="1:15" ht="15">
      <c r="A649" s="66" t="s">
        <v>180</v>
      </c>
      <c r="B649" s="66" t="s">
        <v>677</v>
      </c>
      <c r="C649" s="67"/>
      <c r="D649" s="68"/>
      <c r="E649" s="69"/>
      <c r="F649" s="70"/>
      <c r="G649" s="67"/>
      <c r="H649" s="71"/>
      <c r="I649" s="72"/>
      <c r="J649" s="72"/>
      <c r="K649" s="36"/>
      <c r="L649" s="79">
        <v>649</v>
      </c>
      <c r="M649" s="79"/>
      <c r="N649" s="74"/>
      <c r="O649" s="81" t="s">
        <v>1235</v>
      </c>
    </row>
    <row r="650" spans="1:15" ht="15">
      <c r="A650" s="66" t="s">
        <v>180</v>
      </c>
      <c r="B650" s="66" t="s">
        <v>345</v>
      </c>
      <c r="C650" s="67"/>
      <c r="D650" s="68"/>
      <c r="E650" s="69"/>
      <c r="F650" s="70"/>
      <c r="G650" s="67"/>
      <c r="H650" s="71"/>
      <c r="I650" s="72"/>
      <c r="J650" s="72"/>
      <c r="K650" s="36"/>
      <c r="L650" s="79">
        <v>650</v>
      </c>
      <c r="M650" s="79"/>
      <c r="N650" s="74"/>
      <c r="O650" s="81" t="s">
        <v>1235</v>
      </c>
    </row>
    <row r="651" spans="1:15" ht="15">
      <c r="A651" s="66" t="s">
        <v>180</v>
      </c>
      <c r="B651" s="66" t="s">
        <v>678</v>
      </c>
      <c r="C651" s="67"/>
      <c r="D651" s="68"/>
      <c r="E651" s="69"/>
      <c r="F651" s="70"/>
      <c r="G651" s="67"/>
      <c r="H651" s="71"/>
      <c r="I651" s="72"/>
      <c r="J651" s="72"/>
      <c r="K651" s="36"/>
      <c r="L651" s="79">
        <v>651</v>
      </c>
      <c r="M651" s="79"/>
      <c r="N651" s="74"/>
      <c r="O651" s="81" t="s">
        <v>1235</v>
      </c>
    </row>
    <row r="652" spans="1:15" ht="15">
      <c r="A652" s="66" t="s">
        <v>180</v>
      </c>
      <c r="B652" s="66" t="s">
        <v>679</v>
      </c>
      <c r="C652" s="67"/>
      <c r="D652" s="68"/>
      <c r="E652" s="69"/>
      <c r="F652" s="70"/>
      <c r="G652" s="67"/>
      <c r="H652" s="71"/>
      <c r="I652" s="72"/>
      <c r="J652" s="72"/>
      <c r="K652" s="36"/>
      <c r="L652" s="79">
        <v>652</v>
      </c>
      <c r="M652" s="79"/>
      <c r="N652" s="74"/>
      <c r="O652" s="81" t="s">
        <v>1235</v>
      </c>
    </row>
    <row r="653" spans="1:15" ht="15">
      <c r="A653" s="66" t="s">
        <v>180</v>
      </c>
      <c r="B653" s="66" t="s">
        <v>680</v>
      </c>
      <c r="C653" s="67"/>
      <c r="D653" s="68"/>
      <c r="E653" s="69"/>
      <c r="F653" s="70"/>
      <c r="G653" s="67"/>
      <c r="H653" s="71"/>
      <c r="I653" s="72"/>
      <c r="J653" s="72"/>
      <c r="K653" s="36"/>
      <c r="L653" s="79">
        <v>653</v>
      </c>
      <c r="M653" s="79"/>
      <c r="N653" s="74"/>
      <c r="O653" s="81" t="s">
        <v>1235</v>
      </c>
    </row>
    <row r="654" spans="1:15" ht="15">
      <c r="A654" s="66" t="s">
        <v>180</v>
      </c>
      <c r="B654" s="66" t="s">
        <v>681</v>
      </c>
      <c r="C654" s="67"/>
      <c r="D654" s="68"/>
      <c r="E654" s="69"/>
      <c r="F654" s="70"/>
      <c r="G654" s="67"/>
      <c r="H654" s="71"/>
      <c r="I654" s="72"/>
      <c r="J654" s="72"/>
      <c r="K654" s="36"/>
      <c r="L654" s="79">
        <v>654</v>
      </c>
      <c r="M654" s="79"/>
      <c r="N654" s="74"/>
      <c r="O654" s="81" t="s">
        <v>1235</v>
      </c>
    </row>
    <row r="655" spans="1:15" ht="15">
      <c r="A655" s="66" t="s">
        <v>180</v>
      </c>
      <c r="B655" s="66" t="s">
        <v>682</v>
      </c>
      <c r="C655" s="67"/>
      <c r="D655" s="68"/>
      <c r="E655" s="69"/>
      <c r="F655" s="70"/>
      <c r="G655" s="67"/>
      <c r="H655" s="71"/>
      <c r="I655" s="72"/>
      <c r="J655" s="72"/>
      <c r="K655" s="36"/>
      <c r="L655" s="79">
        <v>655</v>
      </c>
      <c r="M655" s="79"/>
      <c r="N655" s="74"/>
      <c r="O655" s="81" t="s">
        <v>1235</v>
      </c>
    </row>
    <row r="656" spans="1:15" ht="15">
      <c r="A656" s="66" t="s">
        <v>180</v>
      </c>
      <c r="B656" s="66" t="s">
        <v>193</v>
      </c>
      <c r="C656" s="67"/>
      <c r="D656" s="68"/>
      <c r="E656" s="69"/>
      <c r="F656" s="70"/>
      <c r="G656" s="67"/>
      <c r="H656" s="71"/>
      <c r="I656" s="72"/>
      <c r="J656" s="72"/>
      <c r="K656" s="36"/>
      <c r="L656" s="79">
        <v>656</v>
      </c>
      <c r="M656" s="79"/>
      <c r="N656" s="74"/>
      <c r="O656" s="81" t="s">
        <v>1235</v>
      </c>
    </row>
    <row r="657" spans="1:15" ht="15">
      <c r="A657" s="66" t="s">
        <v>180</v>
      </c>
      <c r="B657" s="66" t="s">
        <v>683</v>
      </c>
      <c r="C657" s="67"/>
      <c r="D657" s="68"/>
      <c r="E657" s="69"/>
      <c r="F657" s="70"/>
      <c r="G657" s="67"/>
      <c r="H657" s="71"/>
      <c r="I657" s="72"/>
      <c r="J657" s="72"/>
      <c r="K657" s="36"/>
      <c r="L657" s="79">
        <v>657</v>
      </c>
      <c r="M657" s="79"/>
      <c r="N657" s="74"/>
      <c r="O657" s="81" t="s">
        <v>1235</v>
      </c>
    </row>
    <row r="658" spans="1:15" ht="15">
      <c r="A658" s="66" t="s">
        <v>180</v>
      </c>
      <c r="B658" s="66" t="s">
        <v>684</v>
      </c>
      <c r="C658" s="67"/>
      <c r="D658" s="68"/>
      <c r="E658" s="69"/>
      <c r="F658" s="70"/>
      <c r="G658" s="67"/>
      <c r="H658" s="71"/>
      <c r="I658" s="72"/>
      <c r="J658" s="72"/>
      <c r="K658" s="36"/>
      <c r="L658" s="79">
        <v>658</v>
      </c>
      <c r="M658" s="79"/>
      <c r="N658" s="74"/>
      <c r="O658" s="81" t="s">
        <v>1235</v>
      </c>
    </row>
    <row r="659" spans="1:15" ht="15">
      <c r="A659" s="66" t="s">
        <v>180</v>
      </c>
      <c r="B659" s="66" t="s">
        <v>685</v>
      </c>
      <c r="C659" s="67"/>
      <c r="D659" s="68"/>
      <c r="E659" s="69"/>
      <c r="F659" s="70"/>
      <c r="G659" s="67"/>
      <c r="H659" s="71"/>
      <c r="I659" s="72"/>
      <c r="J659" s="72"/>
      <c r="K659" s="36"/>
      <c r="L659" s="79">
        <v>659</v>
      </c>
      <c r="M659" s="79"/>
      <c r="N659" s="74"/>
      <c r="O659" s="81" t="s">
        <v>1235</v>
      </c>
    </row>
    <row r="660" spans="1:15" ht="15">
      <c r="A660" s="66" t="s">
        <v>180</v>
      </c>
      <c r="B660" s="66" t="s">
        <v>686</v>
      </c>
      <c r="C660" s="67"/>
      <c r="D660" s="68"/>
      <c r="E660" s="69"/>
      <c r="F660" s="70"/>
      <c r="G660" s="67"/>
      <c r="H660" s="71"/>
      <c r="I660" s="72"/>
      <c r="J660" s="72"/>
      <c r="K660" s="36"/>
      <c r="L660" s="79">
        <v>660</v>
      </c>
      <c r="M660" s="79"/>
      <c r="N660" s="74"/>
      <c r="O660" s="81" t="s">
        <v>1235</v>
      </c>
    </row>
    <row r="661" spans="1:15" ht="15">
      <c r="A661" s="66" t="s">
        <v>180</v>
      </c>
      <c r="B661" s="66" t="s">
        <v>225</v>
      </c>
      <c r="C661" s="67"/>
      <c r="D661" s="68"/>
      <c r="E661" s="69"/>
      <c r="F661" s="70"/>
      <c r="G661" s="67"/>
      <c r="H661" s="71"/>
      <c r="I661" s="72"/>
      <c r="J661" s="72"/>
      <c r="K661" s="36"/>
      <c r="L661" s="79">
        <v>661</v>
      </c>
      <c r="M661" s="79"/>
      <c r="N661" s="74"/>
      <c r="O661" s="81" t="s">
        <v>1235</v>
      </c>
    </row>
    <row r="662" spans="1:15" ht="15">
      <c r="A662" s="66" t="s">
        <v>180</v>
      </c>
      <c r="B662" s="66" t="s">
        <v>179</v>
      </c>
      <c r="C662" s="67"/>
      <c r="D662" s="68"/>
      <c r="E662" s="69"/>
      <c r="F662" s="70"/>
      <c r="G662" s="67"/>
      <c r="H662" s="71"/>
      <c r="I662" s="72"/>
      <c r="J662" s="72"/>
      <c r="K662" s="36"/>
      <c r="L662" s="79">
        <v>662</v>
      </c>
      <c r="M662" s="79"/>
      <c r="N662" s="74"/>
      <c r="O662" s="81" t="s">
        <v>1235</v>
      </c>
    </row>
    <row r="663" spans="1:15" ht="15">
      <c r="A663" s="66" t="s">
        <v>180</v>
      </c>
      <c r="B663" s="66" t="s">
        <v>687</v>
      </c>
      <c r="C663" s="67"/>
      <c r="D663" s="68"/>
      <c r="E663" s="69"/>
      <c r="F663" s="70"/>
      <c r="G663" s="67"/>
      <c r="H663" s="71"/>
      <c r="I663" s="72"/>
      <c r="J663" s="72"/>
      <c r="K663" s="36"/>
      <c r="L663" s="79">
        <v>663</v>
      </c>
      <c r="M663" s="79"/>
      <c r="N663" s="74"/>
      <c r="O663" s="81" t="s">
        <v>1235</v>
      </c>
    </row>
    <row r="664" spans="1:15" ht="15">
      <c r="A664" s="66" t="s">
        <v>180</v>
      </c>
      <c r="B664" s="66" t="s">
        <v>688</v>
      </c>
      <c r="C664" s="67"/>
      <c r="D664" s="68"/>
      <c r="E664" s="69"/>
      <c r="F664" s="70"/>
      <c r="G664" s="67"/>
      <c r="H664" s="71"/>
      <c r="I664" s="72"/>
      <c r="J664" s="72"/>
      <c r="K664" s="36"/>
      <c r="L664" s="79">
        <v>664</v>
      </c>
      <c r="M664" s="79"/>
      <c r="N664" s="74"/>
      <c r="O664" s="81" t="s">
        <v>1235</v>
      </c>
    </row>
    <row r="665" spans="1:15" ht="15">
      <c r="A665" s="66" t="s">
        <v>188</v>
      </c>
      <c r="B665" s="66" t="s">
        <v>180</v>
      </c>
      <c r="C665" s="67"/>
      <c r="D665" s="68"/>
      <c r="E665" s="69"/>
      <c r="F665" s="70"/>
      <c r="G665" s="67"/>
      <c r="H665" s="71"/>
      <c r="I665" s="72"/>
      <c r="J665" s="72"/>
      <c r="K665" s="36"/>
      <c r="L665" s="79">
        <v>665</v>
      </c>
      <c r="M665" s="79"/>
      <c r="N665" s="74"/>
      <c r="O665" s="81" t="s">
        <v>1235</v>
      </c>
    </row>
    <row r="666" spans="1:15" ht="15">
      <c r="A666" s="66" t="s">
        <v>190</v>
      </c>
      <c r="B666" s="66" t="s">
        <v>180</v>
      </c>
      <c r="C666" s="67"/>
      <c r="D666" s="68"/>
      <c r="E666" s="69"/>
      <c r="F666" s="70"/>
      <c r="G666" s="67"/>
      <c r="H666" s="71"/>
      <c r="I666" s="72"/>
      <c r="J666" s="72"/>
      <c r="K666" s="36"/>
      <c r="L666" s="79">
        <v>666</v>
      </c>
      <c r="M666" s="79"/>
      <c r="N666" s="74"/>
      <c r="O666" s="81" t="s">
        <v>1235</v>
      </c>
    </row>
    <row r="667" spans="1:15" ht="15">
      <c r="A667" s="66" t="s">
        <v>202</v>
      </c>
      <c r="B667" s="66" t="s">
        <v>180</v>
      </c>
      <c r="C667" s="67"/>
      <c r="D667" s="68"/>
      <c r="E667" s="69"/>
      <c r="F667" s="70"/>
      <c r="G667" s="67"/>
      <c r="H667" s="71"/>
      <c r="I667" s="72"/>
      <c r="J667" s="72"/>
      <c r="K667" s="36"/>
      <c r="L667" s="79">
        <v>667</v>
      </c>
      <c r="M667" s="79"/>
      <c r="N667" s="74"/>
      <c r="O667" s="81" t="s">
        <v>1235</v>
      </c>
    </row>
    <row r="668" spans="1:15" ht="15">
      <c r="A668" s="66" t="s">
        <v>202</v>
      </c>
      <c r="B668" s="66" t="s">
        <v>689</v>
      </c>
      <c r="C668" s="67"/>
      <c r="D668" s="68"/>
      <c r="E668" s="69"/>
      <c r="F668" s="70"/>
      <c r="G668" s="67"/>
      <c r="H668" s="71"/>
      <c r="I668" s="72"/>
      <c r="J668" s="72"/>
      <c r="K668" s="36"/>
      <c r="L668" s="79">
        <v>668</v>
      </c>
      <c r="M668" s="79"/>
      <c r="N668" s="74"/>
      <c r="O668" s="81" t="s">
        <v>1235</v>
      </c>
    </row>
    <row r="669" spans="1:15" ht="15">
      <c r="A669" s="66" t="s">
        <v>188</v>
      </c>
      <c r="B669" s="66" t="s">
        <v>690</v>
      </c>
      <c r="C669" s="67"/>
      <c r="D669" s="68"/>
      <c r="E669" s="69"/>
      <c r="F669" s="70"/>
      <c r="G669" s="67"/>
      <c r="H669" s="71"/>
      <c r="I669" s="72"/>
      <c r="J669" s="72"/>
      <c r="K669" s="36"/>
      <c r="L669" s="79">
        <v>669</v>
      </c>
      <c r="M669" s="79"/>
      <c r="N669" s="74"/>
      <c r="O669" s="81" t="s">
        <v>1235</v>
      </c>
    </row>
    <row r="670" spans="1:15" ht="15">
      <c r="A670" s="66" t="s">
        <v>202</v>
      </c>
      <c r="B670" s="66" t="s">
        <v>690</v>
      </c>
      <c r="C670" s="67"/>
      <c r="D670" s="68"/>
      <c r="E670" s="69"/>
      <c r="F670" s="70"/>
      <c r="G670" s="67"/>
      <c r="H670" s="71"/>
      <c r="I670" s="72"/>
      <c r="J670" s="72"/>
      <c r="K670" s="36"/>
      <c r="L670" s="79">
        <v>670</v>
      </c>
      <c r="M670" s="79"/>
      <c r="N670" s="74"/>
      <c r="O670" s="81" t="s">
        <v>1235</v>
      </c>
    </row>
    <row r="671" spans="1:15" ht="15">
      <c r="A671" s="66" t="s">
        <v>188</v>
      </c>
      <c r="B671" s="66" t="s">
        <v>202</v>
      </c>
      <c r="C671" s="67"/>
      <c r="D671" s="68"/>
      <c r="E671" s="69"/>
      <c r="F671" s="70"/>
      <c r="G671" s="67"/>
      <c r="H671" s="71"/>
      <c r="I671" s="72"/>
      <c r="J671" s="72"/>
      <c r="K671" s="36"/>
      <c r="L671" s="79">
        <v>671</v>
      </c>
      <c r="M671" s="79"/>
      <c r="N671" s="74"/>
      <c r="O671" s="81" t="s">
        <v>1235</v>
      </c>
    </row>
    <row r="672" spans="1:15" ht="15">
      <c r="A672" s="66" t="s">
        <v>202</v>
      </c>
      <c r="B672" s="66" t="s">
        <v>691</v>
      </c>
      <c r="C672" s="67"/>
      <c r="D672" s="68"/>
      <c r="E672" s="69"/>
      <c r="F672" s="70"/>
      <c r="G672" s="67"/>
      <c r="H672" s="71"/>
      <c r="I672" s="72"/>
      <c r="J672" s="72"/>
      <c r="K672" s="36"/>
      <c r="L672" s="79">
        <v>672</v>
      </c>
      <c r="M672" s="79"/>
      <c r="N672" s="74"/>
      <c r="O672" s="81" t="s">
        <v>1235</v>
      </c>
    </row>
    <row r="673" spans="1:15" ht="15">
      <c r="A673" s="66" t="s">
        <v>202</v>
      </c>
      <c r="B673" s="66" t="s">
        <v>285</v>
      </c>
      <c r="C673" s="67"/>
      <c r="D673" s="68"/>
      <c r="E673" s="69"/>
      <c r="F673" s="70"/>
      <c r="G673" s="67"/>
      <c r="H673" s="71"/>
      <c r="I673" s="72"/>
      <c r="J673" s="72"/>
      <c r="K673" s="36"/>
      <c r="L673" s="79">
        <v>673</v>
      </c>
      <c r="M673" s="79"/>
      <c r="N673" s="74"/>
      <c r="O673" s="81" t="s">
        <v>1235</v>
      </c>
    </row>
    <row r="674" spans="1:15" ht="15">
      <c r="A674" s="66" t="s">
        <v>202</v>
      </c>
      <c r="B674" s="66" t="s">
        <v>692</v>
      </c>
      <c r="C674" s="67"/>
      <c r="D674" s="68"/>
      <c r="E674" s="69"/>
      <c r="F674" s="70"/>
      <c r="G674" s="67"/>
      <c r="H674" s="71"/>
      <c r="I674" s="72"/>
      <c r="J674" s="72"/>
      <c r="K674" s="36"/>
      <c r="L674" s="79">
        <v>674</v>
      </c>
      <c r="M674" s="79"/>
      <c r="N674" s="74"/>
      <c r="O674" s="81" t="s">
        <v>1235</v>
      </c>
    </row>
    <row r="675" spans="1:15" ht="15">
      <c r="A675" s="66" t="s">
        <v>202</v>
      </c>
      <c r="B675" s="66" t="s">
        <v>349</v>
      </c>
      <c r="C675" s="67"/>
      <c r="D675" s="68"/>
      <c r="E675" s="69"/>
      <c r="F675" s="70"/>
      <c r="G675" s="67"/>
      <c r="H675" s="71"/>
      <c r="I675" s="72"/>
      <c r="J675" s="72"/>
      <c r="K675" s="36"/>
      <c r="L675" s="79">
        <v>675</v>
      </c>
      <c r="M675" s="79"/>
      <c r="N675" s="74"/>
      <c r="O675" s="81" t="s">
        <v>1235</v>
      </c>
    </row>
    <row r="676" spans="1:15" ht="15">
      <c r="A676" s="66" t="s">
        <v>202</v>
      </c>
      <c r="B676" s="66" t="s">
        <v>291</v>
      </c>
      <c r="C676" s="67"/>
      <c r="D676" s="68"/>
      <c r="E676" s="69"/>
      <c r="F676" s="70"/>
      <c r="G676" s="67"/>
      <c r="H676" s="71"/>
      <c r="I676" s="72"/>
      <c r="J676" s="72"/>
      <c r="K676" s="36"/>
      <c r="L676" s="79">
        <v>676</v>
      </c>
      <c r="M676" s="79"/>
      <c r="N676" s="74"/>
      <c r="O676" s="81" t="s">
        <v>1235</v>
      </c>
    </row>
    <row r="677" spans="1:15" ht="15">
      <c r="A677" s="66" t="s">
        <v>202</v>
      </c>
      <c r="B677" s="66" t="s">
        <v>295</v>
      </c>
      <c r="C677" s="67"/>
      <c r="D677" s="68"/>
      <c r="E677" s="69"/>
      <c r="F677" s="70"/>
      <c r="G677" s="67"/>
      <c r="H677" s="71"/>
      <c r="I677" s="72"/>
      <c r="J677" s="72"/>
      <c r="K677" s="36"/>
      <c r="L677" s="79">
        <v>677</v>
      </c>
      <c r="M677" s="79"/>
      <c r="N677" s="74"/>
      <c r="O677" s="81" t="s">
        <v>1235</v>
      </c>
    </row>
    <row r="678" spans="1:15" ht="15">
      <c r="A678" s="66" t="s">
        <v>202</v>
      </c>
      <c r="B678" s="66" t="s">
        <v>693</v>
      </c>
      <c r="C678" s="67"/>
      <c r="D678" s="68"/>
      <c r="E678" s="69"/>
      <c r="F678" s="70"/>
      <c r="G678" s="67"/>
      <c r="H678" s="71"/>
      <c r="I678" s="72"/>
      <c r="J678" s="72"/>
      <c r="K678" s="36"/>
      <c r="L678" s="79">
        <v>678</v>
      </c>
      <c r="M678" s="79"/>
      <c r="N678" s="74"/>
      <c r="O678" s="81" t="s">
        <v>1235</v>
      </c>
    </row>
    <row r="679" spans="1:15" ht="15">
      <c r="A679" s="66" t="s">
        <v>202</v>
      </c>
      <c r="B679" s="66" t="s">
        <v>650</v>
      </c>
      <c r="C679" s="67"/>
      <c r="D679" s="68"/>
      <c r="E679" s="69"/>
      <c r="F679" s="70"/>
      <c r="G679" s="67"/>
      <c r="H679" s="71"/>
      <c r="I679" s="72"/>
      <c r="J679" s="72"/>
      <c r="K679" s="36"/>
      <c r="L679" s="79">
        <v>679</v>
      </c>
      <c r="M679" s="79"/>
      <c r="N679" s="74"/>
      <c r="O679" s="81" t="s">
        <v>1235</v>
      </c>
    </row>
    <row r="680" spans="1:15" ht="15">
      <c r="A680" s="66" t="s">
        <v>202</v>
      </c>
      <c r="B680" s="66" t="s">
        <v>188</v>
      </c>
      <c r="C680" s="67"/>
      <c r="D680" s="68"/>
      <c r="E680" s="69"/>
      <c r="F680" s="70"/>
      <c r="G680" s="67"/>
      <c r="H680" s="71"/>
      <c r="I680" s="72"/>
      <c r="J680" s="72"/>
      <c r="K680" s="36"/>
      <c r="L680" s="79">
        <v>680</v>
      </c>
      <c r="M680" s="79"/>
      <c r="N680" s="74"/>
      <c r="O680" s="81" t="s">
        <v>1235</v>
      </c>
    </row>
    <row r="681" spans="1:15" ht="15">
      <c r="A681" s="66" t="s">
        <v>202</v>
      </c>
      <c r="B681" s="66" t="s">
        <v>225</v>
      </c>
      <c r="C681" s="67"/>
      <c r="D681" s="68"/>
      <c r="E681" s="69"/>
      <c r="F681" s="70"/>
      <c r="G681" s="67"/>
      <c r="H681" s="71"/>
      <c r="I681" s="72"/>
      <c r="J681" s="72"/>
      <c r="K681" s="36"/>
      <c r="L681" s="79">
        <v>681</v>
      </c>
      <c r="M681" s="79"/>
      <c r="N681" s="74"/>
      <c r="O681" s="81" t="s">
        <v>1235</v>
      </c>
    </row>
    <row r="682" spans="1:15" ht="15">
      <c r="A682" s="66" t="s">
        <v>202</v>
      </c>
      <c r="B682" s="66" t="s">
        <v>284</v>
      </c>
      <c r="C682" s="67"/>
      <c r="D682" s="68"/>
      <c r="E682" s="69"/>
      <c r="F682" s="70"/>
      <c r="G682" s="67"/>
      <c r="H682" s="71"/>
      <c r="I682" s="72"/>
      <c r="J682" s="72"/>
      <c r="K682" s="36"/>
      <c r="L682" s="79">
        <v>682</v>
      </c>
      <c r="M682" s="79"/>
      <c r="N682" s="74"/>
      <c r="O682" s="81" t="s">
        <v>1235</v>
      </c>
    </row>
    <row r="683" spans="1:15" ht="15">
      <c r="A683" s="66" t="s">
        <v>202</v>
      </c>
      <c r="B683" s="66" t="s">
        <v>467</v>
      </c>
      <c r="C683" s="67"/>
      <c r="D683" s="68"/>
      <c r="E683" s="69"/>
      <c r="F683" s="70"/>
      <c r="G683" s="67"/>
      <c r="H683" s="71"/>
      <c r="I683" s="72"/>
      <c r="J683" s="72"/>
      <c r="K683" s="36"/>
      <c r="L683" s="79">
        <v>683</v>
      </c>
      <c r="M683" s="79"/>
      <c r="N683" s="74"/>
      <c r="O683" s="81" t="s">
        <v>1235</v>
      </c>
    </row>
    <row r="684" spans="1:15" ht="15">
      <c r="A684" s="66" t="s">
        <v>202</v>
      </c>
      <c r="B684" s="66" t="s">
        <v>694</v>
      </c>
      <c r="C684" s="67"/>
      <c r="D684" s="68"/>
      <c r="E684" s="69"/>
      <c r="F684" s="70"/>
      <c r="G684" s="67"/>
      <c r="H684" s="71"/>
      <c r="I684" s="72"/>
      <c r="J684" s="72"/>
      <c r="K684" s="36"/>
      <c r="L684" s="79">
        <v>684</v>
      </c>
      <c r="M684" s="79"/>
      <c r="N684" s="74"/>
      <c r="O684" s="81" t="s">
        <v>1235</v>
      </c>
    </row>
    <row r="685" spans="1:15" ht="15">
      <c r="A685" s="66" t="s">
        <v>202</v>
      </c>
      <c r="B685" s="66" t="s">
        <v>179</v>
      </c>
      <c r="C685" s="67"/>
      <c r="D685" s="68"/>
      <c r="E685" s="69"/>
      <c r="F685" s="70"/>
      <c r="G685" s="67"/>
      <c r="H685" s="71"/>
      <c r="I685" s="72"/>
      <c r="J685" s="72"/>
      <c r="K685" s="36"/>
      <c r="L685" s="79">
        <v>685</v>
      </c>
      <c r="M685" s="79"/>
      <c r="N685" s="74"/>
      <c r="O685" s="81" t="s">
        <v>1235</v>
      </c>
    </row>
    <row r="686" spans="1:15" ht="15">
      <c r="A686" s="66" t="s">
        <v>202</v>
      </c>
      <c r="B686" s="66" t="s">
        <v>471</v>
      </c>
      <c r="C686" s="67"/>
      <c r="D686" s="68"/>
      <c r="E686" s="69"/>
      <c r="F686" s="70"/>
      <c r="G686" s="67"/>
      <c r="H686" s="71"/>
      <c r="I686" s="72"/>
      <c r="J686" s="72"/>
      <c r="K686" s="36"/>
      <c r="L686" s="79">
        <v>686</v>
      </c>
      <c r="M686" s="79"/>
      <c r="N686" s="74"/>
      <c r="O686" s="81" t="s">
        <v>1235</v>
      </c>
    </row>
    <row r="687" spans="1:15" ht="15">
      <c r="A687" s="66" t="s">
        <v>202</v>
      </c>
      <c r="B687" s="66" t="s">
        <v>342</v>
      </c>
      <c r="C687" s="67"/>
      <c r="D687" s="68"/>
      <c r="E687" s="69"/>
      <c r="F687" s="70"/>
      <c r="G687" s="67"/>
      <c r="H687" s="71"/>
      <c r="I687" s="72"/>
      <c r="J687" s="72"/>
      <c r="K687" s="36"/>
      <c r="L687" s="79">
        <v>687</v>
      </c>
      <c r="M687" s="79"/>
      <c r="N687" s="74"/>
      <c r="O687" s="81" t="s">
        <v>1235</v>
      </c>
    </row>
    <row r="688" spans="1:15" ht="15">
      <c r="A688" s="66" t="s">
        <v>202</v>
      </c>
      <c r="B688" s="66" t="s">
        <v>211</v>
      </c>
      <c r="C688" s="67"/>
      <c r="D688" s="68"/>
      <c r="E688" s="69"/>
      <c r="F688" s="70"/>
      <c r="G688" s="67"/>
      <c r="H688" s="71"/>
      <c r="I688" s="72"/>
      <c r="J688" s="72"/>
      <c r="K688" s="36"/>
      <c r="L688" s="79">
        <v>688</v>
      </c>
      <c r="M688" s="79"/>
      <c r="N688" s="74"/>
      <c r="O688" s="81" t="s">
        <v>1235</v>
      </c>
    </row>
    <row r="689" spans="1:15" ht="15">
      <c r="A689" s="66" t="s">
        <v>202</v>
      </c>
      <c r="B689" s="66" t="s">
        <v>223</v>
      </c>
      <c r="C689" s="67"/>
      <c r="D689" s="68"/>
      <c r="E689" s="69"/>
      <c r="F689" s="70"/>
      <c r="G689" s="67"/>
      <c r="H689" s="71"/>
      <c r="I689" s="72"/>
      <c r="J689" s="72"/>
      <c r="K689" s="36"/>
      <c r="L689" s="79">
        <v>689</v>
      </c>
      <c r="M689" s="79"/>
      <c r="N689" s="74"/>
      <c r="O689" s="81" t="s">
        <v>1235</v>
      </c>
    </row>
    <row r="690" spans="1:15" ht="15">
      <c r="A690" s="66" t="s">
        <v>202</v>
      </c>
      <c r="B690" s="66" t="s">
        <v>695</v>
      </c>
      <c r="C690" s="67"/>
      <c r="D690" s="68"/>
      <c r="E690" s="69"/>
      <c r="F690" s="70"/>
      <c r="G690" s="67"/>
      <c r="H690" s="71"/>
      <c r="I690" s="72"/>
      <c r="J690" s="72"/>
      <c r="K690" s="36"/>
      <c r="L690" s="79">
        <v>690</v>
      </c>
      <c r="M690" s="79"/>
      <c r="N690" s="74"/>
      <c r="O690" s="81" t="s">
        <v>1235</v>
      </c>
    </row>
    <row r="691" spans="1:15" ht="15">
      <c r="A691" s="66" t="s">
        <v>202</v>
      </c>
      <c r="B691" s="66" t="s">
        <v>218</v>
      </c>
      <c r="C691" s="67"/>
      <c r="D691" s="68"/>
      <c r="E691" s="69"/>
      <c r="F691" s="70"/>
      <c r="G691" s="67"/>
      <c r="H691" s="71"/>
      <c r="I691" s="72"/>
      <c r="J691" s="72"/>
      <c r="K691" s="36"/>
      <c r="L691" s="79">
        <v>691</v>
      </c>
      <c r="M691" s="79"/>
      <c r="N691" s="74"/>
      <c r="O691" s="81" t="s">
        <v>1235</v>
      </c>
    </row>
    <row r="692" spans="1:15" ht="15">
      <c r="A692" s="66" t="s">
        <v>202</v>
      </c>
      <c r="B692" s="66" t="s">
        <v>220</v>
      </c>
      <c r="C692" s="67"/>
      <c r="D692" s="68"/>
      <c r="E692" s="69"/>
      <c r="F692" s="70"/>
      <c r="G692" s="67"/>
      <c r="H692" s="71"/>
      <c r="I692" s="72"/>
      <c r="J692" s="72"/>
      <c r="K692" s="36"/>
      <c r="L692" s="79">
        <v>692</v>
      </c>
      <c r="M692" s="79"/>
      <c r="N692" s="74"/>
      <c r="O692" s="81" t="s">
        <v>1235</v>
      </c>
    </row>
    <row r="693" spans="1:15" ht="15">
      <c r="A693" s="66" t="s">
        <v>202</v>
      </c>
      <c r="B693" s="66" t="s">
        <v>566</v>
      </c>
      <c r="C693" s="67"/>
      <c r="D693" s="68"/>
      <c r="E693" s="69"/>
      <c r="F693" s="70"/>
      <c r="G693" s="67"/>
      <c r="H693" s="71"/>
      <c r="I693" s="72"/>
      <c r="J693" s="72"/>
      <c r="K693" s="36"/>
      <c r="L693" s="79">
        <v>693</v>
      </c>
      <c r="M693" s="79"/>
      <c r="N693" s="74"/>
      <c r="O693" s="81" t="s">
        <v>1235</v>
      </c>
    </row>
    <row r="694" spans="1:15" ht="15">
      <c r="A694" s="66" t="s">
        <v>202</v>
      </c>
      <c r="B694" s="66" t="s">
        <v>696</v>
      </c>
      <c r="C694" s="67"/>
      <c r="D694" s="68"/>
      <c r="E694" s="69"/>
      <c r="F694" s="70"/>
      <c r="G694" s="67"/>
      <c r="H694" s="71"/>
      <c r="I694" s="72"/>
      <c r="J694" s="72"/>
      <c r="K694" s="36"/>
      <c r="L694" s="79">
        <v>694</v>
      </c>
      <c r="M694" s="79"/>
      <c r="N694" s="74"/>
      <c r="O694" s="81" t="s">
        <v>1235</v>
      </c>
    </row>
    <row r="695" spans="1:15" ht="15">
      <c r="A695" s="66" t="s">
        <v>202</v>
      </c>
      <c r="B695" s="66" t="s">
        <v>652</v>
      </c>
      <c r="C695" s="67"/>
      <c r="D695" s="68"/>
      <c r="E695" s="69"/>
      <c r="F695" s="70"/>
      <c r="G695" s="67"/>
      <c r="H695" s="71"/>
      <c r="I695" s="72"/>
      <c r="J695" s="72"/>
      <c r="K695" s="36"/>
      <c r="L695" s="79">
        <v>695</v>
      </c>
      <c r="M695" s="79"/>
      <c r="N695" s="74"/>
      <c r="O695" s="81" t="s">
        <v>1235</v>
      </c>
    </row>
    <row r="696" spans="1:15" ht="15">
      <c r="A696" s="66" t="s">
        <v>202</v>
      </c>
      <c r="B696" s="66" t="s">
        <v>221</v>
      </c>
      <c r="C696" s="67"/>
      <c r="D696" s="68"/>
      <c r="E696" s="69"/>
      <c r="F696" s="70"/>
      <c r="G696" s="67"/>
      <c r="H696" s="71"/>
      <c r="I696" s="72"/>
      <c r="J696" s="72"/>
      <c r="K696" s="36"/>
      <c r="L696" s="79">
        <v>696</v>
      </c>
      <c r="M696" s="79"/>
      <c r="N696" s="74"/>
      <c r="O696" s="81" t="s">
        <v>1235</v>
      </c>
    </row>
    <row r="697" spans="1:15" ht="15">
      <c r="A697" s="66" t="s">
        <v>202</v>
      </c>
      <c r="B697" s="66" t="s">
        <v>224</v>
      </c>
      <c r="C697" s="67"/>
      <c r="D697" s="68"/>
      <c r="E697" s="69"/>
      <c r="F697" s="70"/>
      <c r="G697" s="67"/>
      <c r="H697" s="71"/>
      <c r="I697" s="72"/>
      <c r="J697" s="72"/>
      <c r="K697" s="36"/>
      <c r="L697" s="79">
        <v>697</v>
      </c>
      <c r="M697" s="79"/>
      <c r="N697" s="74"/>
      <c r="O697" s="81" t="s">
        <v>1235</v>
      </c>
    </row>
    <row r="698" spans="1:15" ht="15">
      <c r="A698" s="66" t="s">
        <v>203</v>
      </c>
      <c r="B698" s="66" t="s">
        <v>697</v>
      </c>
      <c r="C698" s="67"/>
      <c r="D698" s="68"/>
      <c r="E698" s="69"/>
      <c r="F698" s="70"/>
      <c r="G698" s="67"/>
      <c r="H698" s="71"/>
      <c r="I698" s="72"/>
      <c r="J698" s="72"/>
      <c r="K698" s="36"/>
      <c r="L698" s="79">
        <v>698</v>
      </c>
      <c r="M698" s="79"/>
      <c r="N698" s="74"/>
      <c r="O698" s="81" t="s">
        <v>1235</v>
      </c>
    </row>
    <row r="699" spans="1:15" ht="15">
      <c r="A699" s="66" t="s">
        <v>203</v>
      </c>
      <c r="B699" s="66" t="s">
        <v>698</v>
      </c>
      <c r="C699" s="67"/>
      <c r="D699" s="68"/>
      <c r="E699" s="69"/>
      <c r="F699" s="70"/>
      <c r="G699" s="67"/>
      <c r="H699" s="71"/>
      <c r="I699" s="72"/>
      <c r="J699" s="72"/>
      <c r="K699" s="36"/>
      <c r="L699" s="79">
        <v>699</v>
      </c>
      <c r="M699" s="79"/>
      <c r="N699" s="74"/>
      <c r="O699" s="81" t="s">
        <v>1235</v>
      </c>
    </row>
    <row r="700" spans="1:15" ht="15">
      <c r="A700" s="66" t="s">
        <v>203</v>
      </c>
      <c r="B700" s="66" t="s">
        <v>699</v>
      </c>
      <c r="C700" s="67"/>
      <c r="D700" s="68"/>
      <c r="E700" s="69"/>
      <c r="F700" s="70"/>
      <c r="G700" s="67"/>
      <c r="H700" s="71"/>
      <c r="I700" s="72"/>
      <c r="J700" s="72"/>
      <c r="K700" s="36"/>
      <c r="L700" s="79">
        <v>700</v>
      </c>
      <c r="M700" s="79"/>
      <c r="N700" s="74"/>
      <c r="O700" s="81" t="s">
        <v>1235</v>
      </c>
    </row>
    <row r="701" spans="1:15" ht="15">
      <c r="A701" s="66" t="s">
        <v>203</v>
      </c>
      <c r="B701" s="66" t="s">
        <v>477</v>
      </c>
      <c r="C701" s="67"/>
      <c r="D701" s="68"/>
      <c r="E701" s="69"/>
      <c r="F701" s="70"/>
      <c r="G701" s="67"/>
      <c r="H701" s="71"/>
      <c r="I701" s="72"/>
      <c r="J701" s="72"/>
      <c r="K701" s="36"/>
      <c r="L701" s="79">
        <v>701</v>
      </c>
      <c r="M701" s="79"/>
      <c r="N701" s="74"/>
      <c r="O701" s="81" t="s">
        <v>1235</v>
      </c>
    </row>
    <row r="702" spans="1:15" ht="15">
      <c r="A702" s="66" t="s">
        <v>203</v>
      </c>
      <c r="B702" s="66" t="s">
        <v>225</v>
      </c>
      <c r="C702" s="67"/>
      <c r="D702" s="68"/>
      <c r="E702" s="69"/>
      <c r="F702" s="70"/>
      <c r="G702" s="67"/>
      <c r="H702" s="71"/>
      <c r="I702" s="72"/>
      <c r="J702" s="72"/>
      <c r="K702" s="36"/>
      <c r="L702" s="79">
        <v>702</v>
      </c>
      <c r="M702" s="79"/>
      <c r="N702" s="74"/>
      <c r="O702" s="81" t="s">
        <v>1235</v>
      </c>
    </row>
    <row r="703" spans="1:15" ht="15">
      <c r="A703" s="66" t="s">
        <v>203</v>
      </c>
      <c r="B703" s="66" t="s">
        <v>484</v>
      </c>
      <c r="C703" s="67"/>
      <c r="D703" s="68"/>
      <c r="E703" s="69"/>
      <c r="F703" s="70"/>
      <c r="G703" s="67"/>
      <c r="H703" s="71"/>
      <c r="I703" s="72"/>
      <c r="J703" s="72"/>
      <c r="K703" s="36"/>
      <c r="L703" s="79">
        <v>703</v>
      </c>
      <c r="M703" s="79"/>
      <c r="N703" s="74"/>
      <c r="O703" s="81" t="s">
        <v>1235</v>
      </c>
    </row>
    <row r="704" spans="1:15" ht="15">
      <c r="A704" s="66" t="s">
        <v>203</v>
      </c>
      <c r="B704" s="66" t="s">
        <v>227</v>
      </c>
      <c r="C704" s="67"/>
      <c r="D704" s="68"/>
      <c r="E704" s="69"/>
      <c r="F704" s="70"/>
      <c r="G704" s="67"/>
      <c r="H704" s="71"/>
      <c r="I704" s="72"/>
      <c r="J704" s="72"/>
      <c r="K704" s="36"/>
      <c r="L704" s="79">
        <v>704</v>
      </c>
      <c r="M704" s="79"/>
      <c r="N704" s="74"/>
      <c r="O704" s="81" t="s">
        <v>1235</v>
      </c>
    </row>
    <row r="705" spans="1:15" ht="15">
      <c r="A705" s="66" t="s">
        <v>203</v>
      </c>
      <c r="B705" s="66" t="s">
        <v>221</v>
      </c>
      <c r="C705" s="67"/>
      <c r="D705" s="68"/>
      <c r="E705" s="69"/>
      <c r="F705" s="70"/>
      <c r="G705" s="67"/>
      <c r="H705" s="71"/>
      <c r="I705" s="72"/>
      <c r="J705" s="72"/>
      <c r="K705" s="36"/>
      <c r="L705" s="79">
        <v>705</v>
      </c>
      <c r="M705" s="79"/>
      <c r="N705" s="74"/>
      <c r="O705" s="81" t="s">
        <v>1235</v>
      </c>
    </row>
    <row r="706" spans="1:15" ht="15">
      <c r="A706" s="66" t="s">
        <v>203</v>
      </c>
      <c r="B706" s="66" t="s">
        <v>700</v>
      </c>
      <c r="C706" s="67"/>
      <c r="D706" s="68"/>
      <c r="E706" s="69"/>
      <c r="F706" s="70"/>
      <c r="G706" s="67"/>
      <c r="H706" s="71"/>
      <c r="I706" s="72"/>
      <c r="J706" s="72"/>
      <c r="K706" s="36"/>
      <c r="L706" s="79">
        <v>706</v>
      </c>
      <c r="M706" s="79"/>
      <c r="N706" s="74"/>
      <c r="O706" s="81" t="s">
        <v>1235</v>
      </c>
    </row>
    <row r="707" spans="1:15" ht="15">
      <c r="A707" s="66" t="s">
        <v>203</v>
      </c>
      <c r="B707" s="66" t="s">
        <v>220</v>
      </c>
      <c r="C707" s="67"/>
      <c r="D707" s="68"/>
      <c r="E707" s="69"/>
      <c r="F707" s="70"/>
      <c r="G707" s="67"/>
      <c r="H707" s="71"/>
      <c r="I707" s="72"/>
      <c r="J707" s="72"/>
      <c r="K707" s="36"/>
      <c r="L707" s="79">
        <v>707</v>
      </c>
      <c r="M707" s="79"/>
      <c r="N707" s="74"/>
      <c r="O707" s="81" t="s">
        <v>1235</v>
      </c>
    </row>
    <row r="708" spans="1:15" ht="15">
      <c r="A708" s="66" t="s">
        <v>203</v>
      </c>
      <c r="B708" s="66" t="s">
        <v>193</v>
      </c>
      <c r="C708" s="67"/>
      <c r="D708" s="68"/>
      <c r="E708" s="69"/>
      <c r="F708" s="70"/>
      <c r="G708" s="67"/>
      <c r="H708" s="71"/>
      <c r="I708" s="72"/>
      <c r="J708" s="72"/>
      <c r="K708" s="36"/>
      <c r="L708" s="79">
        <v>708</v>
      </c>
      <c r="M708" s="79"/>
      <c r="N708" s="74"/>
      <c r="O708" s="81" t="s">
        <v>1235</v>
      </c>
    </row>
    <row r="709" spans="1:15" ht="15">
      <c r="A709" s="66" t="s">
        <v>203</v>
      </c>
      <c r="B709" s="66" t="s">
        <v>222</v>
      </c>
      <c r="C709" s="67"/>
      <c r="D709" s="68"/>
      <c r="E709" s="69"/>
      <c r="F709" s="70"/>
      <c r="G709" s="67"/>
      <c r="H709" s="71"/>
      <c r="I709" s="72"/>
      <c r="J709" s="72"/>
      <c r="K709" s="36"/>
      <c r="L709" s="79">
        <v>709</v>
      </c>
      <c r="M709" s="79"/>
      <c r="N709" s="74"/>
      <c r="O709" s="81" t="s">
        <v>1235</v>
      </c>
    </row>
    <row r="710" spans="1:15" ht="15">
      <c r="A710" s="66" t="s">
        <v>203</v>
      </c>
      <c r="B710" s="66" t="s">
        <v>349</v>
      </c>
      <c r="C710" s="67"/>
      <c r="D710" s="68"/>
      <c r="E710" s="69"/>
      <c r="F710" s="70"/>
      <c r="G710" s="67"/>
      <c r="H710" s="71"/>
      <c r="I710" s="72"/>
      <c r="J710" s="72"/>
      <c r="K710" s="36"/>
      <c r="L710" s="79">
        <v>710</v>
      </c>
      <c r="M710" s="79"/>
      <c r="N710" s="74"/>
      <c r="O710" s="81" t="s">
        <v>1235</v>
      </c>
    </row>
    <row r="711" spans="1:15" ht="15">
      <c r="A711" s="66" t="s">
        <v>203</v>
      </c>
      <c r="B711" s="66" t="s">
        <v>224</v>
      </c>
      <c r="C711" s="67"/>
      <c r="D711" s="68"/>
      <c r="E711" s="69"/>
      <c r="F711" s="70"/>
      <c r="G711" s="67"/>
      <c r="H711" s="71"/>
      <c r="I711" s="72"/>
      <c r="J711" s="72"/>
      <c r="K711" s="36"/>
      <c r="L711" s="79">
        <v>711</v>
      </c>
      <c r="M711" s="79"/>
      <c r="N711" s="74"/>
      <c r="O711" s="81" t="s">
        <v>1235</v>
      </c>
    </row>
    <row r="712" spans="1:15" ht="15">
      <c r="A712" s="66" t="s">
        <v>204</v>
      </c>
      <c r="B712" s="66" t="s">
        <v>701</v>
      </c>
      <c r="C712" s="67"/>
      <c r="D712" s="68"/>
      <c r="E712" s="69"/>
      <c r="F712" s="70"/>
      <c r="G712" s="67"/>
      <c r="H712" s="71"/>
      <c r="I712" s="72"/>
      <c r="J712" s="72"/>
      <c r="K712" s="36"/>
      <c r="L712" s="79">
        <v>712</v>
      </c>
      <c r="M712" s="79"/>
      <c r="N712" s="74"/>
      <c r="O712" s="81" t="s">
        <v>1235</v>
      </c>
    </row>
    <row r="713" spans="1:15" ht="15">
      <c r="A713" s="66" t="s">
        <v>204</v>
      </c>
      <c r="B713" s="66" t="s">
        <v>702</v>
      </c>
      <c r="C713" s="67"/>
      <c r="D713" s="68"/>
      <c r="E713" s="69"/>
      <c r="F713" s="70"/>
      <c r="G713" s="67"/>
      <c r="H713" s="71"/>
      <c r="I713" s="72"/>
      <c r="J713" s="72"/>
      <c r="K713" s="36"/>
      <c r="L713" s="79">
        <v>713</v>
      </c>
      <c r="M713" s="79"/>
      <c r="N713" s="74"/>
      <c r="O713" s="81" t="s">
        <v>1235</v>
      </c>
    </row>
    <row r="714" spans="1:15" ht="15">
      <c r="A714" s="66" t="s">
        <v>204</v>
      </c>
      <c r="B714" s="66" t="s">
        <v>703</v>
      </c>
      <c r="C714" s="67"/>
      <c r="D714" s="68"/>
      <c r="E714" s="69"/>
      <c r="F714" s="70"/>
      <c r="G714" s="67"/>
      <c r="H714" s="71"/>
      <c r="I714" s="72"/>
      <c r="J714" s="72"/>
      <c r="K714" s="36"/>
      <c r="L714" s="79">
        <v>714</v>
      </c>
      <c r="M714" s="79"/>
      <c r="N714" s="74"/>
      <c r="O714" s="81" t="s">
        <v>1235</v>
      </c>
    </row>
    <row r="715" spans="1:15" ht="15">
      <c r="A715" s="66" t="s">
        <v>204</v>
      </c>
      <c r="B715" s="66" t="s">
        <v>704</v>
      </c>
      <c r="C715" s="67"/>
      <c r="D715" s="68"/>
      <c r="E715" s="69"/>
      <c r="F715" s="70"/>
      <c r="G715" s="67"/>
      <c r="H715" s="71"/>
      <c r="I715" s="72"/>
      <c r="J715" s="72"/>
      <c r="K715" s="36"/>
      <c r="L715" s="79">
        <v>715</v>
      </c>
      <c r="M715" s="79"/>
      <c r="N715" s="74"/>
      <c r="O715" s="81" t="s">
        <v>1235</v>
      </c>
    </row>
    <row r="716" spans="1:15" ht="15">
      <c r="A716" s="66" t="s">
        <v>204</v>
      </c>
      <c r="B716" s="66" t="s">
        <v>705</v>
      </c>
      <c r="C716" s="67"/>
      <c r="D716" s="68"/>
      <c r="E716" s="69"/>
      <c r="F716" s="70"/>
      <c r="G716" s="67"/>
      <c r="H716" s="71"/>
      <c r="I716" s="72"/>
      <c r="J716" s="72"/>
      <c r="K716" s="36"/>
      <c r="L716" s="79">
        <v>716</v>
      </c>
      <c r="M716" s="79"/>
      <c r="N716" s="74"/>
      <c r="O716" s="81" t="s">
        <v>1235</v>
      </c>
    </row>
    <row r="717" spans="1:15" ht="15">
      <c r="A717" s="66" t="s">
        <v>204</v>
      </c>
      <c r="B717" s="66" t="s">
        <v>706</v>
      </c>
      <c r="C717" s="67"/>
      <c r="D717" s="68"/>
      <c r="E717" s="69"/>
      <c r="F717" s="70"/>
      <c r="G717" s="67"/>
      <c r="H717" s="71"/>
      <c r="I717" s="72"/>
      <c r="J717" s="72"/>
      <c r="K717" s="36"/>
      <c r="L717" s="79">
        <v>717</v>
      </c>
      <c r="M717" s="79"/>
      <c r="N717" s="74"/>
      <c r="O717" s="81" t="s">
        <v>1235</v>
      </c>
    </row>
    <row r="718" spans="1:15" ht="15">
      <c r="A718" s="66" t="s">
        <v>204</v>
      </c>
      <c r="B718" s="66" t="s">
        <v>707</v>
      </c>
      <c r="C718" s="67"/>
      <c r="D718" s="68"/>
      <c r="E718" s="69"/>
      <c r="F718" s="70"/>
      <c r="G718" s="67"/>
      <c r="H718" s="71"/>
      <c r="I718" s="72"/>
      <c r="J718" s="72"/>
      <c r="K718" s="36"/>
      <c r="L718" s="79">
        <v>718</v>
      </c>
      <c r="M718" s="79"/>
      <c r="N718" s="74"/>
      <c r="O718" s="81" t="s">
        <v>1235</v>
      </c>
    </row>
    <row r="719" spans="1:15" ht="15">
      <c r="A719" s="66" t="s">
        <v>204</v>
      </c>
      <c r="B719" s="66" t="s">
        <v>708</v>
      </c>
      <c r="C719" s="67"/>
      <c r="D719" s="68"/>
      <c r="E719" s="69"/>
      <c r="F719" s="70"/>
      <c r="G719" s="67"/>
      <c r="H719" s="71"/>
      <c r="I719" s="72"/>
      <c r="J719" s="72"/>
      <c r="K719" s="36"/>
      <c r="L719" s="79">
        <v>719</v>
      </c>
      <c r="M719" s="79"/>
      <c r="N719" s="74"/>
      <c r="O719" s="81" t="s">
        <v>1235</v>
      </c>
    </row>
    <row r="720" spans="1:15" ht="15">
      <c r="A720" s="66" t="s">
        <v>204</v>
      </c>
      <c r="B720" s="66" t="s">
        <v>709</v>
      </c>
      <c r="C720" s="67"/>
      <c r="D720" s="68"/>
      <c r="E720" s="69"/>
      <c r="F720" s="70"/>
      <c r="G720" s="67"/>
      <c r="H720" s="71"/>
      <c r="I720" s="72"/>
      <c r="J720" s="72"/>
      <c r="K720" s="36"/>
      <c r="L720" s="79">
        <v>720</v>
      </c>
      <c r="M720" s="79"/>
      <c r="N720" s="74"/>
      <c r="O720" s="81" t="s">
        <v>1235</v>
      </c>
    </row>
    <row r="721" spans="1:15" ht="15">
      <c r="A721" s="66" t="s">
        <v>204</v>
      </c>
      <c r="B721" s="66" t="s">
        <v>710</v>
      </c>
      <c r="C721" s="67"/>
      <c r="D721" s="68"/>
      <c r="E721" s="69"/>
      <c r="F721" s="70"/>
      <c r="G721" s="67"/>
      <c r="H721" s="71"/>
      <c r="I721" s="72"/>
      <c r="J721" s="72"/>
      <c r="K721" s="36"/>
      <c r="L721" s="79">
        <v>721</v>
      </c>
      <c r="M721" s="79"/>
      <c r="N721" s="74"/>
      <c r="O721" s="81" t="s">
        <v>1235</v>
      </c>
    </row>
    <row r="722" spans="1:15" ht="15">
      <c r="A722" s="66" t="s">
        <v>204</v>
      </c>
      <c r="B722" s="66" t="s">
        <v>711</v>
      </c>
      <c r="C722" s="67"/>
      <c r="D722" s="68"/>
      <c r="E722" s="69"/>
      <c r="F722" s="70"/>
      <c r="G722" s="67"/>
      <c r="H722" s="71"/>
      <c r="I722" s="72"/>
      <c r="J722" s="72"/>
      <c r="K722" s="36"/>
      <c r="L722" s="79">
        <v>722</v>
      </c>
      <c r="M722" s="79"/>
      <c r="N722" s="74"/>
      <c r="O722" s="81" t="s">
        <v>1235</v>
      </c>
    </row>
    <row r="723" spans="1:15" ht="15">
      <c r="A723" s="66" t="s">
        <v>204</v>
      </c>
      <c r="B723" s="66" t="s">
        <v>712</v>
      </c>
      <c r="C723" s="67"/>
      <c r="D723" s="68"/>
      <c r="E723" s="69"/>
      <c r="F723" s="70"/>
      <c r="G723" s="67"/>
      <c r="H723" s="71"/>
      <c r="I723" s="72"/>
      <c r="J723" s="72"/>
      <c r="K723" s="36"/>
      <c r="L723" s="79">
        <v>723</v>
      </c>
      <c r="M723" s="79"/>
      <c r="N723" s="74"/>
      <c r="O723" s="81" t="s">
        <v>1235</v>
      </c>
    </row>
    <row r="724" spans="1:15" ht="15">
      <c r="A724" s="66" t="s">
        <v>204</v>
      </c>
      <c r="B724" s="66" t="s">
        <v>713</v>
      </c>
      <c r="C724" s="67"/>
      <c r="D724" s="68"/>
      <c r="E724" s="69"/>
      <c r="F724" s="70"/>
      <c r="G724" s="67"/>
      <c r="H724" s="71"/>
      <c r="I724" s="72"/>
      <c r="J724" s="72"/>
      <c r="K724" s="36"/>
      <c r="L724" s="79">
        <v>724</v>
      </c>
      <c r="M724" s="79"/>
      <c r="N724" s="74"/>
      <c r="O724" s="81" t="s">
        <v>1235</v>
      </c>
    </row>
    <row r="725" spans="1:15" ht="15">
      <c r="A725" s="66" t="s">
        <v>204</v>
      </c>
      <c r="B725" s="66" t="s">
        <v>714</v>
      </c>
      <c r="C725" s="67"/>
      <c r="D725" s="68"/>
      <c r="E725" s="69"/>
      <c r="F725" s="70"/>
      <c r="G725" s="67"/>
      <c r="H725" s="71"/>
      <c r="I725" s="72"/>
      <c r="J725" s="72"/>
      <c r="K725" s="36"/>
      <c r="L725" s="79">
        <v>725</v>
      </c>
      <c r="M725" s="79"/>
      <c r="N725" s="74"/>
      <c r="O725" s="81" t="s">
        <v>1235</v>
      </c>
    </row>
    <row r="726" spans="1:15" ht="15">
      <c r="A726" s="66" t="s">
        <v>204</v>
      </c>
      <c r="B726" s="66" t="s">
        <v>613</v>
      </c>
      <c r="C726" s="67"/>
      <c r="D726" s="68"/>
      <c r="E726" s="69"/>
      <c r="F726" s="70"/>
      <c r="G726" s="67"/>
      <c r="H726" s="71"/>
      <c r="I726" s="72"/>
      <c r="J726" s="72"/>
      <c r="K726" s="36"/>
      <c r="L726" s="79">
        <v>726</v>
      </c>
      <c r="M726" s="79"/>
      <c r="N726" s="74"/>
      <c r="O726" s="81" t="s">
        <v>1235</v>
      </c>
    </row>
    <row r="727" spans="1:15" ht="15">
      <c r="A727" s="66" t="s">
        <v>204</v>
      </c>
      <c r="B727" s="66" t="s">
        <v>715</v>
      </c>
      <c r="C727" s="67"/>
      <c r="D727" s="68"/>
      <c r="E727" s="69"/>
      <c r="F727" s="70"/>
      <c r="G727" s="67"/>
      <c r="H727" s="71"/>
      <c r="I727" s="72"/>
      <c r="J727" s="72"/>
      <c r="K727" s="36"/>
      <c r="L727" s="79">
        <v>727</v>
      </c>
      <c r="M727" s="79"/>
      <c r="N727" s="74"/>
      <c r="O727" s="81" t="s">
        <v>1235</v>
      </c>
    </row>
    <row r="728" spans="1:15" ht="15">
      <c r="A728" s="66" t="s">
        <v>204</v>
      </c>
      <c r="B728" s="66" t="s">
        <v>286</v>
      </c>
      <c r="C728" s="67"/>
      <c r="D728" s="68"/>
      <c r="E728" s="69"/>
      <c r="F728" s="70"/>
      <c r="G728" s="67"/>
      <c r="H728" s="71"/>
      <c r="I728" s="72"/>
      <c r="J728" s="72"/>
      <c r="K728" s="36"/>
      <c r="L728" s="79">
        <v>728</v>
      </c>
      <c r="M728" s="79"/>
      <c r="N728" s="74"/>
      <c r="O728" s="81" t="s">
        <v>1235</v>
      </c>
    </row>
    <row r="729" spans="1:15" ht="15">
      <c r="A729" s="66" t="s">
        <v>204</v>
      </c>
      <c r="B729" s="66" t="s">
        <v>716</v>
      </c>
      <c r="C729" s="67"/>
      <c r="D729" s="68"/>
      <c r="E729" s="69"/>
      <c r="F729" s="70"/>
      <c r="G729" s="67"/>
      <c r="H729" s="71"/>
      <c r="I729" s="72"/>
      <c r="J729" s="72"/>
      <c r="K729" s="36"/>
      <c r="L729" s="79">
        <v>729</v>
      </c>
      <c r="M729" s="79"/>
      <c r="N729" s="74"/>
      <c r="O729" s="81" t="s">
        <v>1235</v>
      </c>
    </row>
    <row r="730" spans="1:15" ht="15">
      <c r="A730" s="66" t="s">
        <v>204</v>
      </c>
      <c r="B730" s="66" t="s">
        <v>717</v>
      </c>
      <c r="C730" s="67"/>
      <c r="D730" s="68"/>
      <c r="E730" s="69"/>
      <c r="F730" s="70"/>
      <c r="G730" s="67"/>
      <c r="H730" s="71"/>
      <c r="I730" s="72"/>
      <c r="J730" s="72"/>
      <c r="K730" s="36"/>
      <c r="L730" s="79">
        <v>730</v>
      </c>
      <c r="M730" s="79"/>
      <c r="N730" s="74"/>
      <c r="O730" s="81" t="s">
        <v>1235</v>
      </c>
    </row>
    <row r="731" spans="1:15" ht="15">
      <c r="A731" s="66" t="s">
        <v>204</v>
      </c>
      <c r="B731" s="66" t="s">
        <v>718</v>
      </c>
      <c r="C731" s="67"/>
      <c r="D731" s="68"/>
      <c r="E731" s="69"/>
      <c r="F731" s="70"/>
      <c r="G731" s="67"/>
      <c r="H731" s="71"/>
      <c r="I731" s="72"/>
      <c r="J731" s="72"/>
      <c r="K731" s="36"/>
      <c r="L731" s="79">
        <v>731</v>
      </c>
      <c r="M731" s="79"/>
      <c r="N731" s="74"/>
      <c r="O731" s="81" t="s">
        <v>1235</v>
      </c>
    </row>
    <row r="732" spans="1:15" ht="15">
      <c r="A732" s="66" t="s">
        <v>205</v>
      </c>
      <c r="B732" s="66" t="s">
        <v>341</v>
      </c>
      <c r="C732" s="67"/>
      <c r="D732" s="68"/>
      <c r="E732" s="69"/>
      <c r="F732" s="70"/>
      <c r="G732" s="67"/>
      <c r="H732" s="71"/>
      <c r="I732" s="72"/>
      <c r="J732" s="72"/>
      <c r="K732" s="36"/>
      <c r="L732" s="79">
        <v>732</v>
      </c>
      <c r="M732" s="79"/>
      <c r="N732" s="74"/>
      <c r="O732" s="81" t="s">
        <v>1235</v>
      </c>
    </row>
    <row r="733" spans="1:15" ht="15">
      <c r="A733" s="66" t="s">
        <v>205</v>
      </c>
      <c r="B733" s="66" t="s">
        <v>719</v>
      </c>
      <c r="C733" s="67"/>
      <c r="D733" s="68"/>
      <c r="E733" s="69"/>
      <c r="F733" s="70"/>
      <c r="G733" s="67"/>
      <c r="H733" s="71"/>
      <c r="I733" s="72"/>
      <c r="J733" s="72"/>
      <c r="K733" s="36"/>
      <c r="L733" s="79">
        <v>733</v>
      </c>
      <c r="M733" s="79"/>
      <c r="N733" s="74"/>
      <c r="O733" s="81" t="s">
        <v>1235</v>
      </c>
    </row>
    <row r="734" spans="1:15" ht="15">
      <c r="A734" s="66" t="s">
        <v>205</v>
      </c>
      <c r="B734" s="66" t="s">
        <v>565</v>
      </c>
      <c r="C734" s="67"/>
      <c r="D734" s="68"/>
      <c r="E734" s="69"/>
      <c r="F734" s="70"/>
      <c r="G734" s="67"/>
      <c r="H734" s="71"/>
      <c r="I734" s="72"/>
      <c r="J734" s="72"/>
      <c r="K734" s="36"/>
      <c r="L734" s="79">
        <v>734</v>
      </c>
      <c r="M734" s="79"/>
      <c r="N734" s="74"/>
      <c r="O734" s="81" t="s">
        <v>1235</v>
      </c>
    </row>
    <row r="735" spans="1:15" ht="15">
      <c r="A735" s="66" t="s">
        <v>205</v>
      </c>
      <c r="B735" s="66" t="s">
        <v>720</v>
      </c>
      <c r="C735" s="67"/>
      <c r="D735" s="68"/>
      <c r="E735" s="69"/>
      <c r="F735" s="70"/>
      <c r="G735" s="67"/>
      <c r="H735" s="71"/>
      <c r="I735" s="72"/>
      <c r="J735" s="72"/>
      <c r="K735" s="36"/>
      <c r="L735" s="79">
        <v>735</v>
      </c>
      <c r="M735" s="79"/>
      <c r="N735" s="74"/>
      <c r="O735" s="81" t="s">
        <v>1235</v>
      </c>
    </row>
    <row r="736" spans="1:15" ht="15">
      <c r="A736" s="66" t="s">
        <v>205</v>
      </c>
      <c r="B736" s="66" t="s">
        <v>613</v>
      </c>
      <c r="C736" s="67"/>
      <c r="D736" s="68"/>
      <c r="E736" s="69"/>
      <c r="F736" s="70"/>
      <c r="G736" s="67"/>
      <c r="H736" s="71"/>
      <c r="I736" s="72"/>
      <c r="J736" s="72"/>
      <c r="K736" s="36"/>
      <c r="L736" s="79">
        <v>736</v>
      </c>
      <c r="M736" s="79"/>
      <c r="N736" s="74"/>
      <c r="O736" s="81" t="s">
        <v>1235</v>
      </c>
    </row>
    <row r="737" spans="1:15" ht="15">
      <c r="A737" s="66" t="s">
        <v>205</v>
      </c>
      <c r="B737" s="66" t="s">
        <v>721</v>
      </c>
      <c r="C737" s="67"/>
      <c r="D737" s="68"/>
      <c r="E737" s="69"/>
      <c r="F737" s="70"/>
      <c r="G737" s="67"/>
      <c r="H737" s="71"/>
      <c r="I737" s="72"/>
      <c r="J737" s="72"/>
      <c r="K737" s="36"/>
      <c r="L737" s="79">
        <v>737</v>
      </c>
      <c r="M737" s="79"/>
      <c r="N737" s="74"/>
      <c r="O737" s="81" t="s">
        <v>1235</v>
      </c>
    </row>
    <row r="738" spans="1:15" ht="15">
      <c r="A738" s="66" t="s">
        <v>205</v>
      </c>
      <c r="B738" s="66" t="s">
        <v>296</v>
      </c>
      <c r="C738" s="67"/>
      <c r="D738" s="68"/>
      <c r="E738" s="69"/>
      <c r="F738" s="70"/>
      <c r="G738" s="67"/>
      <c r="H738" s="71"/>
      <c r="I738" s="72"/>
      <c r="J738" s="72"/>
      <c r="K738" s="36"/>
      <c r="L738" s="79">
        <v>738</v>
      </c>
      <c r="M738" s="79"/>
      <c r="N738" s="74"/>
      <c r="O738" s="81" t="s">
        <v>1235</v>
      </c>
    </row>
    <row r="739" spans="1:15" ht="15">
      <c r="A739" s="66" t="s">
        <v>205</v>
      </c>
      <c r="B739" s="66" t="s">
        <v>722</v>
      </c>
      <c r="C739" s="67"/>
      <c r="D739" s="68"/>
      <c r="E739" s="69"/>
      <c r="F739" s="70"/>
      <c r="G739" s="67"/>
      <c r="H739" s="71"/>
      <c r="I739" s="72"/>
      <c r="J739" s="72"/>
      <c r="K739" s="36"/>
      <c r="L739" s="79">
        <v>739</v>
      </c>
      <c r="M739" s="79"/>
      <c r="N739" s="74"/>
      <c r="O739" s="81" t="s">
        <v>1235</v>
      </c>
    </row>
    <row r="740" spans="1:15" ht="15">
      <c r="A740" s="66" t="s">
        <v>205</v>
      </c>
      <c r="B740" s="66" t="s">
        <v>723</v>
      </c>
      <c r="C740" s="67"/>
      <c r="D740" s="68"/>
      <c r="E740" s="69"/>
      <c r="F740" s="70"/>
      <c r="G740" s="67"/>
      <c r="H740" s="71"/>
      <c r="I740" s="72"/>
      <c r="J740" s="72"/>
      <c r="K740" s="36"/>
      <c r="L740" s="79">
        <v>740</v>
      </c>
      <c r="M740" s="79"/>
      <c r="N740" s="74"/>
      <c r="O740" s="81" t="s">
        <v>1235</v>
      </c>
    </row>
    <row r="741" spans="1:15" ht="15">
      <c r="A741" s="66" t="s">
        <v>205</v>
      </c>
      <c r="B741" s="66" t="s">
        <v>724</v>
      </c>
      <c r="C741" s="67"/>
      <c r="D741" s="68"/>
      <c r="E741" s="69"/>
      <c r="F741" s="70"/>
      <c r="G741" s="67"/>
      <c r="H741" s="71"/>
      <c r="I741" s="72"/>
      <c r="J741" s="72"/>
      <c r="K741" s="36"/>
      <c r="L741" s="79">
        <v>741</v>
      </c>
      <c r="M741" s="79"/>
      <c r="N741" s="74"/>
      <c r="O741" s="81" t="s">
        <v>1235</v>
      </c>
    </row>
    <row r="742" spans="1:15" ht="15">
      <c r="A742" s="66" t="s">
        <v>200</v>
      </c>
      <c r="B742" s="66" t="s">
        <v>223</v>
      </c>
      <c r="C742" s="67"/>
      <c r="D742" s="68"/>
      <c r="E742" s="69"/>
      <c r="F742" s="70"/>
      <c r="G742" s="67"/>
      <c r="H742" s="71"/>
      <c r="I742" s="72"/>
      <c r="J742" s="72"/>
      <c r="K742" s="36"/>
      <c r="L742" s="79">
        <v>742</v>
      </c>
      <c r="M742" s="79"/>
      <c r="N742" s="74"/>
      <c r="O742" s="81" t="s">
        <v>1235</v>
      </c>
    </row>
    <row r="743" spans="1:15" ht="15">
      <c r="A743" s="66" t="s">
        <v>200</v>
      </c>
      <c r="B743" s="66" t="s">
        <v>225</v>
      </c>
      <c r="C743" s="67"/>
      <c r="D743" s="68"/>
      <c r="E743" s="69"/>
      <c r="F743" s="70"/>
      <c r="G743" s="67"/>
      <c r="H743" s="71"/>
      <c r="I743" s="72"/>
      <c r="J743" s="72"/>
      <c r="K743" s="36"/>
      <c r="L743" s="79">
        <v>743</v>
      </c>
      <c r="M743" s="79"/>
      <c r="N743" s="74"/>
      <c r="O743" s="81" t="s">
        <v>1235</v>
      </c>
    </row>
    <row r="744" spans="1:15" ht="15">
      <c r="A744" s="66" t="s">
        <v>200</v>
      </c>
      <c r="B744" s="66" t="s">
        <v>529</v>
      </c>
      <c r="C744" s="67"/>
      <c r="D744" s="68"/>
      <c r="E744" s="69"/>
      <c r="F744" s="70"/>
      <c r="G744" s="67"/>
      <c r="H744" s="71"/>
      <c r="I744" s="72"/>
      <c r="J744" s="72"/>
      <c r="K744" s="36"/>
      <c r="L744" s="79">
        <v>744</v>
      </c>
      <c r="M744" s="79"/>
      <c r="N744" s="74"/>
      <c r="O744" s="81" t="s">
        <v>1235</v>
      </c>
    </row>
    <row r="745" spans="1:15" ht="15">
      <c r="A745" s="66" t="s">
        <v>200</v>
      </c>
      <c r="B745" s="66" t="s">
        <v>696</v>
      </c>
      <c r="C745" s="67"/>
      <c r="D745" s="68"/>
      <c r="E745" s="69"/>
      <c r="F745" s="70"/>
      <c r="G745" s="67"/>
      <c r="H745" s="71"/>
      <c r="I745" s="72"/>
      <c r="J745" s="72"/>
      <c r="K745" s="36"/>
      <c r="L745" s="79">
        <v>745</v>
      </c>
      <c r="M745" s="79"/>
      <c r="N745" s="74"/>
      <c r="O745" s="81" t="s">
        <v>1235</v>
      </c>
    </row>
    <row r="746" spans="1:15" ht="15">
      <c r="A746" s="66" t="s">
        <v>200</v>
      </c>
      <c r="B746" s="66" t="s">
        <v>211</v>
      </c>
      <c r="C746" s="67"/>
      <c r="D746" s="68"/>
      <c r="E746" s="69"/>
      <c r="F746" s="70"/>
      <c r="G746" s="67"/>
      <c r="H746" s="71"/>
      <c r="I746" s="72"/>
      <c r="J746" s="72"/>
      <c r="K746" s="36"/>
      <c r="L746" s="79">
        <v>746</v>
      </c>
      <c r="M746" s="79"/>
      <c r="N746" s="74"/>
      <c r="O746" s="81" t="s">
        <v>1235</v>
      </c>
    </row>
    <row r="747" spans="1:15" ht="15">
      <c r="A747" s="66" t="s">
        <v>200</v>
      </c>
      <c r="B747" s="66" t="s">
        <v>227</v>
      </c>
      <c r="C747" s="67"/>
      <c r="D747" s="68"/>
      <c r="E747" s="69"/>
      <c r="F747" s="70"/>
      <c r="G747" s="67"/>
      <c r="H747" s="71"/>
      <c r="I747" s="72"/>
      <c r="J747" s="72"/>
      <c r="K747" s="36"/>
      <c r="L747" s="79">
        <v>747</v>
      </c>
      <c r="M747" s="79"/>
      <c r="N747" s="74"/>
      <c r="O747" s="81" t="s">
        <v>1235</v>
      </c>
    </row>
    <row r="748" spans="1:15" ht="15">
      <c r="A748" s="66" t="s">
        <v>205</v>
      </c>
      <c r="B748" s="66" t="s">
        <v>200</v>
      </c>
      <c r="C748" s="67"/>
      <c r="D748" s="68"/>
      <c r="E748" s="69"/>
      <c r="F748" s="70"/>
      <c r="G748" s="67"/>
      <c r="H748" s="71"/>
      <c r="I748" s="72"/>
      <c r="J748" s="72"/>
      <c r="K748" s="36"/>
      <c r="L748" s="79">
        <v>748</v>
      </c>
      <c r="M748" s="79"/>
      <c r="N748" s="74"/>
      <c r="O748" s="81" t="s">
        <v>1235</v>
      </c>
    </row>
    <row r="749" spans="1:15" ht="15">
      <c r="A749" s="66" t="s">
        <v>205</v>
      </c>
      <c r="B749" s="66" t="s">
        <v>725</v>
      </c>
      <c r="C749" s="67"/>
      <c r="D749" s="68"/>
      <c r="E749" s="69"/>
      <c r="F749" s="70"/>
      <c r="G749" s="67"/>
      <c r="H749" s="71"/>
      <c r="I749" s="72"/>
      <c r="J749" s="72"/>
      <c r="K749" s="36"/>
      <c r="L749" s="79">
        <v>749</v>
      </c>
      <c r="M749" s="79"/>
      <c r="N749" s="74"/>
      <c r="O749" s="81" t="s">
        <v>1235</v>
      </c>
    </row>
    <row r="750" spans="1:15" ht="15">
      <c r="A750" s="66" t="s">
        <v>205</v>
      </c>
      <c r="B750" s="66" t="s">
        <v>726</v>
      </c>
      <c r="C750" s="67"/>
      <c r="D750" s="68"/>
      <c r="E750" s="69"/>
      <c r="F750" s="70"/>
      <c r="G750" s="67"/>
      <c r="H750" s="71"/>
      <c r="I750" s="72"/>
      <c r="J750" s="72"/>
      <c r="K750" s="36"/>
      <c r="L750" s="79">
        <v>750</v>
      </c>
      <c r="M750" s="79"/>
      <c r="N750" s="74"/>
      <c r="O750" s="81" t="s">
        <v>1235</v>
      </c>
    </row>
    <row r="751" spans="1:15" ht="15">
      <c r="A751" s="66" t="s">
        <v>205</v>
      </c>
      <c r="B751" s="66" t="s">
        <v>727</v>
      </c>
      <c r="C751" s="67"/>
      <c r="D751" s="68"/>
      <c r="E751" s="69"/>
      <c r="F751" s="70"/>
      <c r="G751" s="67"/>
      <c r="H751" s="71"/>
      <c r="I751" s="72"/>
      <c r="J751" s="72"/>
      <c r="K751" s="36"/>
      <c r="L751" s="79">
        <v>751</v>
      </c>
      <c r="M751" s="79"/>
      <c r="N751" s="74"/>
      <c r="O751" s="81" t="s">
        <v>1235</v>
      </c>
    </row>
    <row r="752" spans="1:15" ht="15">
      <c r="A752" s="66" t="s">
        <v>195</v>
      </c>
      <c r="B752" s="66" t="s">
        <v>214</v>
      </c>
      <c r="C752" s="67"/>
      <c r="D752" s="68"/>
      <c r="E752" s="69"/>
      <c r="F752" s="70"/>
      <c r="G752" s="67"/>
      <c r="H752" s="71"/>
      <c r="I752" s="72"/>
      <c r="J752" s="72"/>
      <c r="K752" s="36"/>
      <c r="L752" s="79">
        <v>752</v>
      </c>
      <c r="M752" s="79"/>
      <c r="N752" s="74"/>
      <c r="O752" s="81" t="s">
        <v>1235</v>
      </c>
    </row>
    <row r="753" spans="1:15" ht="15">
      <c r="A753" s="66" t="s">
        <v>195</v>
      </c>
      <c r="B753" s="66" t="s">
        <v>220</v>
      </c>
      <c r="C753" s="67"/>
      <c r="D753" s="68"/>
      <c r="E753" s="69"/>
      <c r="F753" s="70"/>
      <c r="G753" s="67"/>
      <c r="H753" s="71"/>
      <c r="I753" s="72"/>
      <c r="J753" s="72"/>
      <c r="K753" s="36"/>
      <c r="L753" s="79">
        <v>753</v>
      </c>
      <c r="M753" s="79"/>
      <c r="N753" s="74"/>
      <c r="O753" s="81" t="s">
        <v>1235</v>
      </c>
    </row>
    <row r="754" spans="1:15" ht="15">
      <c r="A754" s="66" t="s">
        <v>195</v>
      </c>
      <c r="B754" s="66" t="s">
        <v>564</v>
      </c>
      <c r="C754" s="67"/>
      <c r="D754" s="68"/>
      <c r="E754" s="69"/>
      <c r="F754" s="70"/>
      <c r="G754" s="67"/>
      <c r="H754" s="71"/>
      <c r="I754" s="72"/>
      <c r="J754" s="72"/>
      <c r="K754" s="36"/>
      <c r="L754" s="79">
        <v>754</v>
      </c>
      <c r="M754" s="79"/>
      <c r="N754" s="74"/>
      <c r="O754" s="81" t="s">
        <v>1235</v>
      </c>
    </row>
    <row r="755" spans="1:15" ht="15">
      <c r="A755" s="66" t="s">
        <v>195</v>
      </c>
      <c r="B755" s="66" t="s">
        <v>525</v>
      </c>
      <c r="C755" s="67"/>
      <c r="D755" s="68"/>
      <c r="E755" s="69"/>
      <c r="F755" s="70"/>
      <c r="G755" s="67"/>
      <c r="H755" s="71"/>
      <c r="I755" s="72"/>
      <c r="J755" s="72"/>
      <c r="K755" s="36"/>
      <c r="L755" s="79">
        <v>755</v>
      </c>
      <c r="M755" s="79"/>
      <c r="N755" s="74"/>
      <c r="O755" s="81" t="s">
        <v>1235</v>
      </c>
    </row>
    <row r="756" spans="1:15" ht="15">
      <c r="A756" s="66" t="s">
        <v>195</v>
      </c>
      <c r="B756" s="66" t="s">
        <v>605</v>
      </c>
      <c r="C756" s="67"/>
      <c r="D756" s="68"/>
      <c r="E756" s="69"/>
      <c r="F756" s="70"/>
      <c r="G756" s="67"/>
      <c r="H756" s="71"/>
      <c r="I756" s="72"/>
      <c r="J756" s="72"/>
      <c r="K756" s="36"/>
      <c r="L756" s="79">
        <v>756</v>
      </c>
      <c r="M756" s="79"/>
      <c r="N756" s="74"/>
      <c r="O756" s="81" t="s">
        <v>1235</v>
      </c>
    </row>
    <row r="757" spans="1:15" ht="15">
      <c r="A757" s="66" t="s">
        <v>195</v>
      </c>
      <c r="B757" s="66" t="s">
        <v>569</v>
      </c>
      <c r="C757" s="67"/>
      <c r="D757" s="68"/>
      <c r="E757" s="69"/>
      <c r="F757" s="70"/>
      <c r="G757" s="67"/>
      <c r="H757" s="71"/>
      <c r="I757" s="72"/>
      <c r="J757" s="72"/>
      <c r="K757" s="36"/>
      <c r="L757" s="79">
        <v>757</v>
      </c>
      <c r="M757" s="79"/>
      <c r="N757" s="74"/>
      <c r="O757" s="81" t="s">
        <v>1235</v>
      </c>
    </row>
    <row r="758" spans="1:15" ht="15">
      <c r="A758" s="66" t="s">
        <v>195</v>
      </c>
      <c r="B758" s="66" t="s">
        <v>728</v>
      </c>
      <c r="C758" s="67"/>
      <c r="D758" s="68"/>
      <c r="E758" s="69"/>
      <c r="F758" s="70"/>
      <c r="G758" s="67"/>
      <c r="H758" s="71"/>
      <c r="I758" s="72"/>
      <c r="J758" s="72"/>
      <c r="K758" s="36"/>
      <c r="L758" s="79">
        <v>758</v>
      </c>
      <c r="M758" s="79"/>
      <c r="N758" s="74"/>
      <c r="O758" s="81" t="s">
        <v>1235</v>
      </c>
    </row>
    <row r="759" spans="1:15" ht="15">
      <c r="A759" s="66" t="s">
        <v>195</v>
      </c>
      <c r="B759" s="66" t="s">
        <v>603</v>
      </c>
      <c r="C759" s="67"/>
      <c r="D759" s="68"/>
      <c r="E759" s="69"/>
      <c r="F759" s="70"/>
      <c r="G759" s="67"/>
      <c r="H759" s="71"/>
      <c r="I759" s="72"/>
      <c r="J759" s="72"/>
      <c r="K759" s="36"/>
      <c r="L759" s="79">
        <v>759</v>
      </c>
      <c r="M759" s="79"/>
      <c r="N759" s="74"/>
      <c r="O759" s="81" t="s">
        <v>1235</v>
      </c>
    </row>
    <row r="760" spans="1:15" ht="15">
      <c r="A760" s="66" t="s">
        <v>195</v>
      </c>
      <c r="B760" s="66" t="s">
        <v>729</v>
      </c>
      <c r="C760" s="67"/>
      <c r="D760" s="68"/>
      <c r="E760" s="69"/>
      <c r="F760" s="70"/>
      <c r="G760" s="67"/>
      <c r="H760" s="71"/>
      <c r="I760" s="72"/>
      <c r="J760" s="72"/>
      <c r="K760" s="36"/>
      <c r="L760" s="79">
        <v>760</v>
      </c>
      <c r="M760" s="79"/>
      <c r="N760" s="74"/>
      <c r="O760" s="81" t="s">
        <v>1235</v>
      </c>
    </row>
    <row r="761" spans="1:15" ht="15">
      <c r="A761" s="66" t="s">
        <v>195</v>
      </c>
      <c r="B761" s="66" t="s">
        <v>730</v>
      </c>
      <c r="C761" s="67"/>
      <c r="D761" s="68"/>
      <c r="E761" s="69"/>
      <c r="F761" s="70"/>
      <c r="G761" s="67"/>
      <c r="H761" s="71"/>
      <c r="I761" s="72"/>
      <c r="J761" s="72"/>
      <c r="K761" s="36"/>
      <c r="L761" s="79">
        <v>761</v>
      </c>
      <c r="M761" s="79"/>
      <c r="N761" s="74"/>
      <c r="O761" s="81" t="s">
        <v>1235</v>
      </c>
    </row>
    <row r="762" spans="1:15" ht="15">
      <c r="A762" s="66" t="s">
        <v>195</v>
      </c>
      <c r="B762" s="66" t="s">
        <v>731</v>
      </c>
      <c r="C762" s="67"/>
      <c r="D762" s="68"/>
      <c r="E762" s="69"/>
      <c r="F762" s="70"/>
      <c r="G762" s="67"/>
      <c r="H762" s="71"/>
      <c r="I762" s="72"/>
      <c r="J762" s="72"/>
      <c r="K762" s="36"/>
      <c r="L762" s="79">
        <v>762</v>
      </c>
      <c r="M762" s="79"/>
      <c r="N762" s="74"/>
      <c r="O762" s="81" t="s">
        <v>1235</v>
      </c>
    </row>
    <row r="763" spans="1:15" ht="15">
      <c r="A763" s="66" t="s">
        <v>195</v>
      </c>
      <c r="B763" s="66" t="s">
        <v>215</v>
      </c>
      <c r="C763" s="67"/>
      <c r="D763" s="68"/>
      <c r="E763" s="69"/>
      <c r="F763" s="70"/>
      <c r="G763" s="67"/>
      <c r="H763" s="71"/>
      <c r="I763" s="72"/>
      <c r="J763" s="72"/>
      <c r="K763" s="36"/>
      <c r="L763" s="79">
        <v>763</v>
      </c>
      <c r="M763" s="79"/>
      <c r="N763" s="74"/>
      <c r="O763" s="81" t="s">
        <v>1235</v>
      </c>
    </row>
    <row r="764" spans="1:15" ht="15">
      <c r="A764" s="66" t="s">
        <v>195</v>
      </c>
      <c r="B764" s="66" t="s">
        <v>732</v>
      </c>
      <c r="C764" s="67"/>
      <c r="D764" s="68"/>
      <c r="E764" s="69"/>
      <c r="F764" s="70"/>
      <c r="G764" s="67"/>
      <c r="H764" s="71"/>
      <c r="I764" s="72"/>
      <c r="J764" s="72"/>
      <c r="K764" s="36"/>
      <c r="L764" s="79">
        <v>764</v>
      </c>
      <c r="M764" s="79"/>
      <c r="N764" s="74"/>
      <c r="O764" s="81" t="s">
        <v>1235</v>
      </c>
    </row>
    <row r="765" spans="1:15" ht="15">
      <c r="A765" s="66" t="s">
        <v>195</v>
      </c>
      <c r="B765" s="66" t="s">
        <v>652</v>
      </c>
      <c r="C765" s="67"/>
      <c r="D765" s="68"/>
      <c r="E765" s="69"/>
      <c r="F765" s="70"/>
      <c r="G765" s="67"/>
      <c r="H765" s="71"/>
      <c r="I765" s="72"/>
      <c r="J765" s="72"/>
      <c r="K765" s="36"/>
      <c r="L765" s="79">
        <v>765</v>
      </c>
      <c r="M765" s="79"/>
      <c r="N765" s="74"/>
      <c r="O765" s="81" t="s">
        <v>1235</v>
      </c>
    </row>
    <row r="766" spans="1:15" ht="15">
      <c r="A766" s="66" t="s">
        <v>195</v>
      </c>
      <c r="B766" s="66" t="s">
        <v>733</v>
      </c>
      <c r="C766" s="67"/>
      <c r="D766" s="68"/>
      <c r="E766" s="69"/>
      <c r="F766" s="70"/>
      <c r="G766" s="67"/>
      <c r="H766" s="71"/>
      <c r="I766" s="72"/>
      <c r="J766" s="72"/>
      <c r="K766" s="36"/>
      <c r="L766" s="79">
        <v>766</v>
      </c>
      <c r="M766" s="79"/>
      <c r="N766" s="74"/>
      <c r="O766" s="81" t="s">
        <v>1235</v>
      </c>
    </row>
    <row r="767" spans="1:15" ht="15">
      <c r="A767" s="66" t="s">
        <v>195</v>
      </c>
      <c r="B767" s="66" t="s">
        <v>651</v>
      </c>
      <c r="C767" s="67"/>
      <c r="D767" s="68"/>
      <c r="E767" s="69"/>
      <c r="F767" s="70"/>
      <c r="G767" s="67"/>
      <c r="H767" s="71"/>
      <c r="I767" s="72"/>
      <c r="J767" s="72"/>
      <c r="K767" s="36"/>
      <c r="L767" s="79">
        <v>767</v>
      </c>
      <c r="M767" s="79"/>
      <c r="N767" s="74"/>
      <c r="O767" s="81" t="s">
        <v>1235</v>
      </c>
    </row>
    <row r="768" spans="1:15" ht="15">
      <c r="A768" s="66" t="s">
        <v>195</v>
      </c>
      <c r="B768" s="66" t="s">
        <v>227</v>
      </c>
      <c r="C768" s="67"/>
      <c r="D768" s="68"/>
      <c r="E768" s="69"/>
      <c r="F768" s="70"/>
      <c r="G768" s="67"/>
      <c r="H768" s="71"/>
      <c r="I768" s="72"/>
      <c r="J768" s="72"/>
      <c r="K768" s="36"/>
      <c r="L768" s="79">
        <v>768</v>
      </c>
      <c r="M768" s="79"/>
      <c r="N768" s="74"/>
      <c r="O768" s="81" t="s">
        <v>1235</v>
      </c>
    </row>
    <row r="769" spans="1:15" ht="15">
      <c r="A769" s="66" t="s">
        <v>195</v>
      </c>
      <c r="B769" s="66" t="s">
        <v>218</v>
      </c>
      <c r="C769" s="67"/>
      <c r="D769" s="68"/>
      <c r="E769" s="69"/>
      <c r="F769" s="70"/>
      <c r="G769" s="67"/>
      <c r="H769" s="71"/>
      <c r="I769" s="72"/>
      <c r="J769" s="72"/>
      <c r="K769" s="36"/>
      <c r="L769" s="79">
        <v>769</v>
      </c>
      <c r="M769" s="79"/>
      <c r="N769" s="74"/>
      <c r="O769" s="81" t="s">
        <v>1235</v>
      </c>
    </row>
    <row r="770" spans="1:15" ht="15">
      <c r="A770" s="66" t="s">
        <v>205</v>
      </c>
      <c r="B770" s="66" t="s">
        <v>195</v>
      </c>
      <c r="C770" s="67"/>
      <c r="D770" s="68"/>
      <c r="E770" s="69"/>
      <c r="F770" s="70"/>
      <c r="G770" s="67"/>
      <c r="H770" s="71"/>
      <c r="I770" s="72"/>
      <c r="J770" s="72"/>
      <c r="K770" s="36"/>
      <c r="L770" s="79">
        <v>770</v>
      </c>
      <c r="M770" s="79"/>
      <c r="N770" s="74"/>
      <c r="O770" s="81" t="s">
        <v>1235</v>
      </c>
    </row>
    <row r="771" spans="1:15" ht="15">
      <c r="A771" s="66" t="s">
        <v>205</v>
      </c>
      <c r="B771" s="66" t="s">
        <v>734</v>
      </c>
      <c r="C771" s="67"/>
      <c r="D771" s="68"/>
      <c r="E771" s="69"/>
      <c r="F771" s="70"/>
      <c r="G771" s="67"/>
      <c r="H771" s="71"/>
      <c r="I771" s="72"/>
      <c r="J771" s="72"/>
      <c r="K771" s="36"/>
      <c r="L771" s="79">
        <v>771</v>
      </c>
      <c r="M771" s="79"/>
      <c r="N771" s="74"/>
      <c r="O771" s="81" t="s">
        <v>1235</v>
      </c>
    </row>
    <row r="772" spans="1:15" ht="15">
      <c r="A772" s="66" t="s">
        <v>205</v>
      </c>
      <c r="B772" s="66" t="s">
        <v>735</v>
      </c>
      <c r="C772" s="67"/>
      <c r="D772" s="68"/>
      <c r="E772" s="69"/>
      <c r="F772" s="70"/>
      <c r="G772" s="67"/>
      <c r="H772" s="71"/>
      <c r="I772" s="72"/>
      <c r="J772" s="72"/>
      <c r="K772" s="36"/>
      <c r="L772" s="79">
        <v>772</v>
      </c>
      <c r="M772" s="79"/>
      <c r="N772" s="74"/>
      <c r="O772" s="81" t="s">
        <v>1235</v>
      </c>
    </row>
    <row r="773" spans="1:15" ht="15">
      <c r="A773" s="66" t="s">
        <v>205</v>
      </c>
      <c r="B773" s="66" t="s">
        <v>736</v>
      </c>
      <c r="C773" s="67"/>
      <c r="D773" s="68"/>
      <c r="E773" s="69"/>
      <c r="F773" s="70"/>
      <c r="G773" s="67"/>
      <c r="H773" s="71"/>
      <c r="I773" s="72"/>
      <c r="J773" s="72"/>
      <c r="K773" s="36"/>
      <c r="L773" s="79">
        <v>773</v>
      </c>
      <c r="M773" s="79"/>
      <c r="N773" s="74"/>
      <c r="O773" s="81" t="s">
        <v>1235</v>
      </c>
    </row>
    <row r="774" spans="1:15" ht="15">
      <c r="A774" s="66" t="s">
        <v>205</v>
      </c>
      <c r="B774" s="66" t="s">
        <v>737</v>
      </c>
      <c r="C774" s="67"/>
      <c r="D774" s="68"/>
      <c r="E774" s="69"/>
      <c r="F774" s="70"/>
      <c r="G774" s="67"/>
      <c r="H774" s="71"/>
      <c r="I774" s="72"/>
      <c r="J774" s="72"/>
      <c r="K774" s="36"/>
      <c r="L774" s="79">
        <v>774</v>
      </c>
      <c r="M774" s="79"/>
      <c r="N774" s="74"/>
      <c r="O774" s="81" t="s">
        <v>1235</v>
      </c>
    </row>
    <row r="775" spans="1:15" ht="15">
      <c r="A775" s="66" t="s">
        <v>205</v>
      </c>
      <c r="B775" s="66" t="s">
        <v>738</v>
      </c>
      <c r="C775" s="67"/>
      <c r="D775" s="68"/>
      <c r="E775" s="69"/>
      <c r="F775" s="70"/>
      <c r="G775" s="67"/>
      <c r="H775" s="71"/>
      <c r="I775" s="72"/>
      <c r="J775" s="72"/>
      <c r="K775" s="36"/>
      <c r="L775" s="79">
        <v>775</v>
      </c>
      <c r="M775" s="79"/>
      <c r="N775" s="74"/>
      <c r="O775" s="81" t="s">
        <v>1235</v>
      </c>
    </row>
    <row r="776" spans="1:15" ht="15">
      <c r="A776" s="66" t="s">
        <v>205</v>
      </c>
      <c r="B776" s="66" t="s">
        <v>739</v>
      </c>
      <c r="C776" s="67"/>
      <c r="D776" s="68"/>
      <c r="E776" s="69"/>
      <c r="F776" s="70"/>
      <c r="G776" s="67"/>
      <c r="H776" s="71"/>
      <c r="I776" s="72"/>
      <c r="J776" s="72"/>
      <c r="K776" s="36"/>
      <c r="L776" s="79">
        <v>776</v>
      </c>
      <c r="M776" s="79"/>
      <c r="N776" s="74"/>
      <c r="O776" s="81" t="s">
        <v>1235</v>
      </c>
    </row>
    <row r="777" spans="1:15" ht="15">
      <c r="A777" s="66" t="s">
        <v>205</v>
      </c>
      <c r="B777" s="66" t="s">
        <v>568</v>
      </c>
      <c r="C777" s="67"/>
      <c r="D777" s="68"/>
      <c r="E777" s="69"/>
      <c r="F777" s="70"/>
      <c r="G777" s="67"/>
      <c r="H777" s="71"/>
      <c r="I777" s="72"/>
      <c r="J777" s="72"/>
      <c r="K777" s="36"/>
      <c r="L777" s="79">
        <v>777</v>
      </c>
      <c r="M777" s="79"/>
      <c r="N777" s="74"/>
      <c r="O777" s="81" t="s">
        <v>1235</v>
      </c>
    </row>
    <row r="778" spans="1:15" ht="15">
      <c r="A778" s="66" t="s">
        <v>179</v>
      </c>
      <c r="B778" s="66" t="s">
        <v>205</v>
      </c>
      <c r="C778" s="67"/>
      <c r="D778" s="68"/>
      <c r="E778" s="69"/>
      <c r="F778" s="70"/>
      <c r="G778" s="67"/>
      <c r="H778" s="71"/>
      <c r="I778" s="72"/>
      <c r="J778" s="72"/>
      <c r="K778" s="36"/>
      <c r="L778" s="79">
        <v>778</v>
      </c>
      <c r="M778" s="79"/>
      <c r="N778" s="74"/>
      <c r="O778" s="81" t="s">
        <v>1235</v>
      </c>
    </row>
    <row r="779" spans="1:15" ht="15">
      <c r="A779" s="66" t="s">
        <v>190</v>
      </c>
      <c r="B779" s="66" t="s">
        <v>205</v>
      </c>
      <c r="C779" s="67"/>
      <c r="D779" s="68"/>
      <c r="E779" s="69"/>
      <c r="F779" s="70"/>
      <c r="G779" s="67"/>
      <c r="H779" s="71"/>
      <c r="I779" s="72"/>
      <c r="J779" s="72"/>
      <c r="K779" s="36"/>
      <c r="L779" s="79">
        <v>779</v>
      </c>
      <c r="M779" s="79"/>
      <c r="N779" s="74"/>
      <c r="O779" s="81" t="s">
        <v>1235</v>
      </c>
    </row>
    <row r="780" spans="1:15" ht="15">
      <c r="A780" s="66" t="s">
        <v>193</v>
      </c>
      <c r="B780" s="66" t="s">
        <v>205</v>
      </c>
      <c r="C780" s="67"/>
      <c r="D780" s="68"/>
      <c r="E780" s="69"/>
      <c r="F780" s="70"/>
      <c r="G780" s="67"/>
      <c r="H780" s="71"/>
      <c r="I780" s="72"/>
      <c r="J780" s="72"/>
      <c r="K780" s="36"/>
      <c r="L780" s="79">
        <v>780</v>
      </c>
      <c r="M780" s="79"/>
      <c r="N780" s="74"/>
      <c r="O780" s="81" t="s">
        <v>1235</v>
      </c>
    </row>
    <row r="781" spans="1:15" ht="15">
      <c r="A781" s="66" t="s">
        <v>205</v>
      </c>
      <c r="B781" s="66" t="s">
        <v>612</v>
      </c>
      <c r="C781" s="67"/>
      <c r="D781" s="68"/>
      <c r="E781" s="69"/>
      <c r="F781" s="70"/>
      <c r="G781" s="67"/>
      <c r="H781" s="71"/>
      <c r="I781" s="72"/>
      <c r="J781" s="72"/>
      <c r="K781" s="36"/>
      <c r="L781" s="79">
        <v>781</v>
      </c>
      <c r="M781" s="79"/>
      <c r="N781" s="74"/>
      <c r="O781" s="81" t="s">
        <v>1235</v>
      </c>
    </row>
    <row r="782" spans="1:15" ht="15">
      <c r="A782" s="66" t="s">
        <v>205</v>
      </c>
      <c r="B782" s="66" t="s">
        <v>216</v>
      </c>
      <c r="C782" s="67"/>
      <c r="D782" s="68"/>
      <c r="E782" s="69"/>
      <c r="F782" s="70"/>
      <c r="G782" s="67"/>
      <c r="H782" s="71"/>
      <c r="I782" s="72"/>
      <c r="J782" s="72"/>
      <c r="K782" s="36"/>
      <c r="L782" s="79">
        <v>782</v>
      </c>
      <c r="M782" s="79"/>
      <c r="N782" s="74"/>
      <c r="O782" s="81" t="s">
        <v>1235</v>
      </c>
    </row>
    <row r="783" spans="1:15" ht="15">
      <c r="A783" s="66" t="s">
        <v>205</v>
      </c>
      <c r="B783" s="66" t="s">
        <v>223</v>
      </c>
      <c r="C783" s="67"/>
      <c r="D783" s="68"/>
      <c r="E783" s="69"/>
      <c r="F783" s="70"/>
      <c r="G783" s="67"/>
      <c r="H783" s="71"/>
      <c r="I783" s="72"/>
      <c r="J783" s="72"/>
      <c r="K783" s="36"/>
      <c r="L783" s="79">
        <v>783</v>
      </c>
      <c r="M783" s="79"/>
      <c r="N783" s="74"/>
      <c r="O783" s="81" t="s">
        <v>1235</v>
      </c>
    </row>
    <row r="784" spans="1:15" ht="15">
      <c r="A784" s="66" t="s">
        <v>205</v>
      </c>
      <c r="B784" s="66" t="s">
        <v>484</v>
      </c>
      <c r="C784" s="67"/>
      <c r="D784" s="68"/>
      <c r="E784" s="69"/>
      <c r="F784" s="70"/>
      <c r="G784" s="67"/>
      <c r="H784" s="71"/>
      <c r="I784" s="72"/>
      <c r="J784" s="72"/>
      <c r="K784" s="36"/>
      <c r="L784" s="79">
        <v>784</v>
      </c>
      <c r="M784" s="79"/>
      <c r="N784" s="74"/>
      <c r="O784" s="81" t="s">
        <v>1235</v>
      </c>
    </row>
    <row r="785" spans="1:15" ht="15">
      <c r="A785" s="66" t="s">
        <v>205</v>
      </c>
      <c r="B785" s="66" t="s">
        <v>476</v>
      </c>
      <c r="C785" s="67"/>
      <c r="D785" s="68"/>
      <c r="E785" s="69"/>
      <c r="F785" s="70"/>
      <c r="G785" s="67"/>
      <c r="H785" s="71"/>
      <c r="I785" s="72"/>
      <c r="J785" s="72"/>
      <c r="K785" s="36"/>
      <c r="L785" s="79">
        <v>785</v>
      </c>
      <c r="M785" s="79"/>
      <c r="N785" s="74"/>
      <c r="O785" s="81" t="s">
        <v>1235</v>
      </c>
    </row>
    <row r="786" spans="1:15" ht="15">
      <c r="A786" s="66" t="s">
        <v>205</v>
      </c>
      <c r="B786" s="66" t="s">
        <v>214</v>
      </c>
      <c r="C786" s="67"/>
      <c r="D786" s="68"/>
      <c r="E786" s="69"/>
      <c r="F786" s="70"/>
      <c r="G786" s="67"/>
      <c r="H786" s="71"/>
      <c r="I786" s="72"/>
      <c r="J786" s="72"/>
      <c r="K786" s="36"/>
      <c r="L786" s="79">
        <v>786</v>
      </c>
      <c r="M786" s="79"/>
      <c r="N786" s="74"/>
      <c r="O786" s="81" t="s">
        <v>1235</v>
      </c>
    </row>
    <row r="787" spans="1:15" ht="15">
      <c r="A787" s="66" t="s">
        <v>205</v>
      </c>
      <c r="B787" s="66" t="s">
        <v>486</v>
      </c>
      <c r="C787" s="67"/>
      <c r="D787" s="68"/>
      <c r="E787" s="69"/>
      <c r="F787" s="70"/>
      <c r="G787" s="67"/>
      <c r="H787" s="71"/>
      <c r="I787" s="72"/>
      <c r="J787" s="72"/>
      <c r="K787" s="36"/>
      <c r="L787" s="79">
        <v>787</v>
      </c>
      <c r="M787" s="79"/>
      <c r="N787" s="74"/>
      <c r="O787" s="81" t="s">
        <v>1235</v>
      </c>
    </row>
    <row r="788" spans="1:15" ht="15">
      <c r="A788" s="66" t="s">
        <v>205</v>
      </c>
      <c r="B788" s="66" t="s">
        <v>291</v>
      </c>
      <c r="C788" s="67"/>
      <c r="D788" s="68"/>
      <c r="E788" s="69"/>
      <c r="F788" s="70"/>
      <c r="G788" s="67"/>
      <c r="H788" s="71"/>
      <c r="I788" s="72"/>
      <c r="J788" s="72"/>
      <c r="K788" s="36"/>
      <c r="L788" s="79">
        <v>788</v>
      </c>
      <c r="M788" s="79"/>
      <c r="N788" s="74"/>
      <c r="O788" s="81" t="s">
        <v>1235</v>
      </c>
    </row>
    <row r="789" spans="1:15" ht="15">
      <c r="A789" s="66" t="s">
        <v>205</v>
      </c>
      <c r="B789" s="66" t="s">
        <v>193</v>
      </c>
      <c r="C789" s="67"/>
      <c r="D789" s="68"/>
      <c r="E789" s="69"/>
      <c r="F789" s="70"/>
      <c r="G789" s="67"/>
      <c r="H789" s="71"/>
      <c r="I789" s="72"/>
      <c r="J789" s="72"/>
      <c r="K789" s="36"/>
      <c r="L789" s="79">
        <v>789</v>
      </c>
      <c r="M789" s="79"/>
      <c r="N789" s="74"/>
      <c r="O789" s="81" t="s">
        <v>1235</v>
      </c>
    </row>
    <row r="790" spans="1:15" ht="15">
      <c r="A790" s="66" t="s">
        <v>205</v>
      </c>
      <c r="B790" s="66" t="s">
        <v>286</v>
      </c>
      <c r="C790" s="67"/>
      <c r="D790" s="68"/>
      <c r="E790" s="69"/>
      <c r="F790" s="70"/>
      <c r="G790" s="67"/>
      <c r="H790" s="71"/>
      <c r="I790" s="72"/>
      <c r="J790" s="72"/>
      <c r="K790" s="36"/>
      <c r="L790" s="79">
        <v>790</v>
      </c>
      <c r="M790" s="79"/>
      <c r="N790" s="74"/>
      <c r="O790" s="81" t="s">
        <v>1235</v>
      </c>
    </row>
    <row r="791" spans="1:15" ht="15">
      <c r="A791" s="66" t="s">
        <v>205</v>
      </c>
      <c r="B791" s="66" t="s">
        <v>740</v>
      </c>
      <c r="C791" s="67"/>
      <c r="D791" s="68"/>
      <c r="E791" s="69"/>
      <c r="F791" s="70"/>
      <c r="G791" s="67"/>
      <c r="H791" s="71"/>
      <c r="I791" s="72"/>
      <c r="J791" s="72"/>
      <c r="K791" s="36"/>
      <c r="L791" s="79">
        <v>791</v>
      </c>
      <c r="M791" s="79"/>
      <c r="N791" s="74"/>
      <c r="O791" s="81" t="s">
        <v>1235</v>
      </c>
    </row>
    <row r="792" spans="1:15" ht="15">
      <c r="A792" s="66" t="s">
        <v>205</v>
      </c>
      <c r="B792" s="66" t="s">
        <v>741</v>
      </c>
      <c r="C792" s="67"/>
      <c r="D792" s="68"/>
      <c r="E792" s="69"/>
      <c r="F792" s="70"/>
      <c r="G792" s="67"/>
      <c r="H792" s="71"/>
      <c r="I792" s="72"/>
      <c r="J792" s="72"/>
      <c r="K792" s="36"/>
      <c r="L792" s="79">
        <v>792</v>
      </c>
      <c r="M792" s="79"/>
      <c r="N792" s="74"/>
      <c r="O792" s="81" t="s">
        <v>1235</v>
      </c>
    </row>
    <row r="793" spans="1:15" ht="15">
      <c r="A793" s="66" t="s">
        <v>205</v>
      </c>
      <c r="B793" s="66" t="s">
        <v>221</v>
      </c>
      <c r="C793" s="67"/>
      <c r="D793" s="68"/>
      <c r="E793" s="69"/>
      <c r="F793" s="70"/>
      <c r="G793" s="67"/>
      <c r="H793" s="71"/>
      <c r="I793" s="72"/>
      <c r="J793" s="72"/>
      <c r="K793" s="36"/>
      <c r="L793" s="79">
        <v>793</v>
      </c>
      <c r="M793" s="79"/>
      <c r="N793" s="74"/>
      <c r="O793" s="81" t="s">
        <v>1235</v>
      </c>
    </row>
    <row r="794" spans="1:15" ht="15">
      <c r="A794" s="66" t="s">
        <v>205</v>
      </c>
      <c r="B794" s="66" t="s">
        <v>693</v>
      </c>
      <c r="C794" s="67"/>
      <c r="D794" s="68"/>
      <c r="E794" s="69"/>
      <c r="F794" s="70"/>
      <c r="G794" s="67"/>
      <c r="H794" s="71"/>
      <c r="I794" s="72"/>
      <c r="J794" s="72"/>
      <c r="K794" s="36"/>
      <c r="L794" s="79">
        <v>794</v>
      </c>
      <c r="M794" s="79"/>
      <c r="N794" s="74"/>
      <c r="O794" s="81" t="s">
        <v>1235</v>
      </c>
    </row>
    <row r="795" spans="1:15" ht="15">
      <c r="A795" s="66" t="s">
        <v>205</v>
      </c>
      <c r="B795" s="66" t="s">
        <v>566</v>
      </c>
      <c r="C795" s="67"/>
      <c r="D795" s="68"/>
      <c r="E795" s="69"/>
      <c r="F795" s="70"/>
      <c r="G795" s="67"/>
      <c r="H795" s="71"/>
      <c r="I795" s="72"/>
      <c r="J795" s="72"/>
      <c r="K795" s="36"/>
      <c r="L795" s="79">
        <v>795</v>
      </c>
      <c r="M795" s="79"/>
      <c r="N795" s="74"/>
      <c r="O795" s="81" t="s">
        <v>1235</v>
      </c>
    </row>
    <row r="796" spans="1:15" ht="15">
      <c r="A796" s="66" t="s">
        <v>205</v>
      </c>
      <c r="B796" s="66" t="s">
        <v>742</v>
      </c>
      <c r="C796" s="67"/>
      <c r="D796" s="68"/>
      <c r="E796" s="69"/>
      <c r="F796" s="70"/>
      <c r="G796" s="67"/>
      <c r="H796" s="71"/>
      <c r="I796" s="72"/>
      <c r="J796" s="72"/>
      <c r="K796" s="36"/>
      <c r="L796" s="79">
        <v>796</v>
      </c>
      <c r="M796" s="79"/>
      <c r="N796" s="74"/>
      <c r="O796" s="81" t="s">
        <v>1235</v>
      </c>
    </row>
    <row r="797" spans="1:15" ht="15">
      <c r="A797" s="66" t="s">
        <v>205</v>
      </c>
      <c r="B797" s="66" t="s">
        <v>222</v>
      </c>
      <c r="C797" s="67"/>
      <c r="D797" s="68"/>
      <c r="E797" s="69"/>
      <c r="F797" s="70"/>
      <c r="G797" s="67"/>
      <c r="H797" s="71"/>
      <c r="I797" s="72"/>
      <c r="J797" s="72"/>
      <c r="K797" s="36"/>
      <c r="L797" s="79">
        <v>797</v>
      </c>
      <c r="M797" s="79"/>
      <c r="N797" s="74"/>
      <c r="O797" s="81" t="s">
        <v>1235</v>
      </c>
    </row>
    <row r="798" spans="1:15" ht="15">
      <c r="A798" s="66" t="s">
        <v>205</v>
      </c>
      <c r="B798" s="66" t="s">
        <v>651</v>
      </c>
      <c r="C798" s="67"/>
      <c r="D798" s="68"/>
      <c r="E798" s="69"/>
      <c r="F798" s="70"/>
      <c r="G798" s="67"/>
      <c r="H798" s="71"/>
      <c r="I798" s="72"/>
      <c r="J798" s="72"/>
      <c r="K798" s="36"/>
      <c r="L798" s="79">
        <v>798</v>
      </c>
      <c r="M798" s="79"/>
      <c r="N798" s="74"/>
      <c r="O798" s="81" t="s">
        <v>1235</v>
      </c>
    </row>
    <row r="799" spans="1:15" ht="15">
      <c r="A799" s="66" t="s">
        <v>205</v>
      </c>
      <c r="B799" s="66" t="s">
        <v>219</v>
      </c>
      <c r="C799" s="67"/>
      <c r="D799" s="68"/>
      <c r="E799" s="69"/>
      <c r="F799" s="70"/>
      <c r="G799" s="67"/>
      <c r="H799" s="71"/>
      <c r="I799" s="72"/>
      <c r="J799" s="72"/>
      <c r="K799" s="36"/>
      <c r="L799" s="79">
        <v>799</v>
      </c>
      <c r="M799" s="79"/>
      <c r="N799" s="74"/>
      <c r="O799" s="81" t="s">
        <v>1235</v>
      </c>
    </row>
    <row r="800" spans="1:15" ht="15">
      <c r="A800" s="66" t="s">
        <v>205</v>
      </c>
      <c r="B800" s="66" t="s">
        <v>743</v>
      </c>
      <c r="C800" s="67"/>
      <c r="D800" s="68"/>
      <c r="E800" s="69"/>
      <c r="F800" s="70"/>
      <c r="G800" s="67"/>
      <c r="H800" s="71"/>
      <c r="I800" s="72"/>
      <c r="J800" s="72"/>
      <c r="K800" s="36"/>
      <c r="L800" s="79">
        <v>800</v>
      </c>
      <c r="M800" s="79"/>
      <c r="N800" s="74"/>
      <c r="O800" s="81" t="s">
        <v>1235</v>
      </c>
    </row>
    <row r="801" spans="1:15" ht="15">
      <c r="A801" s="66" t="s">
        <v>205</v>
      </c>
      <c r="B801" s="66" t="s">
        <v>695</v>
      </c>
      <c r="C801" s="67"/>
      <c r="D801" s="68"/>
      <c r="E801" s="69"/>
      <c r="F801" s="70"/>
      <c r="G801" s="67"/>
      <c r="H801" s="71"/>
      <c r="I801" s="72"/>
      <c r="J801" s="72"/>
      <c r="K801" s="36"/>
      <c r="L801" s="79">
        <v>801</v>
      </c>
      <c r="M801" s="79"/>
      <c r="N801" s="74"/>
      <c r="O801" s="81" t="s">
        <v>1235</v>
      </c>
    </row>
    <row r="802" spans="1:15" ht="15">
      <c r="A802" s="66" t="s">
        <v>205</v>
      </c>
      <c r="B802" s="66" t="s">
        <v>225</v>
      </c>
      <c r="C802" s="67"/>
      <c r="D802" s="68"/>
      <c r="E802" s="69"/>
      <c r="F802" s="70"/>
      <c r="G802" s="67"/>
      <c r="H802" s="71"/>
      <c r="I802" s="72"/>
      <c r="J802" s="72"/>
      <c r="K802" s="36"/>
      <c r="L802" s="79">
        <v>802</v>
      </c>
      <c r="M802" s="79"/>
      <c r="N802" s="74"/>
      <c r="O802" s="81" t="s">
        <v>1235</v>
      </c>
    </row>
    <row r="803" spans="1:15" ht="15">
      <c r="A803" s="66" t="s">
        <v>205</v>
      </c>
      <c r="B803" s="66" t="s">
        <v>744</v>
      </c>
      <c r="C803" s="67"/>
      <c r="D803" s="68"/>
      <c r="E803" s="69"/>
      <c r="F803" s="70"/>
      <c r="G803" s="67"/>
      <c r="H803" s="71"/>
      <c r="I803" s="72"/>
      <c r="J803" s="72"/>
      <c r="K803" s="36"/>
      <c r="L803" s="79">
        <v>803</v>
      </c>
      <c r="M803" s="79"/>
      <c r="N803" s="74"/>
      <c r="O803" s="81" t="s">
        <v>1235</v>
      </c>
    </row>
    <row r="804" spans="1:15" ht="15">
      <c r="A804" s="66" t="s">
        <v>205</v>
      </c>
      <c r="B804" s="66" t="s">
        <v>218</v>
      </c>
      <c r="C804" s="67"/>
      <c r="D804" s="68"/>
      <c r="E804" s="69"/>
      <c r="F804" s="70"/>
      <c r="G804" s="67"/>
      <c r="H804" s="71"/>
      <c r="I804" s="72"/>
      <c r="J804" s="72"/>
      <c r="K804" s="36"/>
      <c r="L804" s="79">
        <v>804</v>
      </c>
      <c r="M804" s="79"/>
      <c r="N804" s="74"/>
      <c r="O804" s="81" t="s">
        <v>1235</v>
      </c>
    </row>
    <row r="805" spans="1:15" ht="15">
      <c r="A805" s="66" t="s">
        <v>205</v>
      </c>
      <c r="B805" s="66" t="s">
        <v>295</v>
      </c>
      <c r="C805" s="67"/>
      <c r="D805" s="68"/>
      <c r="E805" s="69"/>
      <c r="F805" s="70"/>
      <c r="G805" s="67"/>
      <c r="H805" s="71"/>
      <c r="I805" s="72"/>
      <c r="J805" s="72"/>
      <c r="K805" s="36"/>
      <c r="L805" s="79">
        <v>805</v>
      </c>
      <c r="M805" s="79"/>
      <c r="N805" s="74"/>
      <c r="O805" s="81" t="s">
        <v>1235</v>
      </c>
    </row>
    <row r="806" spans="1:15" ht="15">
      <c r="A806" s="66" t="s">
        <v>205</v>
      </c>
      <c r="B806" s="66" t="s">
        <v>227</v>
      </c>
      <c r="C806" s="67"/>
      <c r="D806" s="68"/>
      <c r="E806" s="69"/>
      <c r="F806" s="70"/>
      <c r="G806" s="67"/>
      <c r="H806" s="71"/>
      <c r="I806" s="72"/>
      <c r="J806" s="72"/>
      <c r="K806" s="36"/>
      <c r="L806" s="79">
        <v>806</v>
      </c>
      <c r="M806" s="79"/>
      <c r="N806" s="74"/>
      <c r="O806" s="81" t="s">
        <v>1235</v>
      </c>
    </row>
    <row r="807" spans="1:15" ht="15">
      <c r="A807" s="66" t="s">
        <v>205</v>
      </c>
      <c r="B807" s="66" t="s">
        <v>745</v>
      </c>
      <c r="C807" s="67"/>
      <c r="D807" s="68"/>
      <c r="E807" s="69"/>
      <c r="F807" s="70"/>
      <c r="G807" s="67"/>
      <c r="H807" s="71"/>
      <c r="I807" s="72"/>
      <c r="J807" s="72"/>
      <c r="K807" s="36"/>
      <c r="L807" s="79">
        <v>807</v>
      </c>
      <c r="M807" s="79"/>
      <c r="N807" s="74"/>
      <c r="O807" s="81" t="s">
        <v>1235</v>
      </c>
    </row>
    <row r="808" spans="1:15" ht="15">
      <c r="A808" s="66" t="s">
        <v>205</v>
      </c>
      <c r="B808" s="66" t="s">
        <v>224</v>
      </c>
      <c r="C808" s="67"/>
      <c r="D808" s="68"/>
      <c r="E808" s="69"/>
      <c r="F808" s="70"/>
      <c r="G808" s="67"/>
      <c r="H808" s="71"/>
      <c r="I808" s="72"/>
      <c r="J808" s="72"/>
      <c r="K808" s="36"/>
      <c r="L808" s="79">
        <v>808</v>
      </c>
      <c r="M808" s="79"/>
      <c r="N808" s="74"/>
      <c r="O808" s="81" t="s">
        <v>1235</v>
      </c>
    </row>
    <row r="809" spans="1:15" ht="15">
      <c r="A809" s="66" t="s">
        <v>206</v>
      </c>
      <c r="B809" s="66" t="s">
        <v>272</v>
      </c>
      <c r="C809" s="67"/>
      <c r="D809" s="68"/>
      <c r="E809" s="69"/>
      <c r="F809" s="70"/>
      <c r="G809" s="67"/>
      <c r="H809" s="71"/>
      <c r="I809" s="72"/>
      <c r="J809" s="72"/>
      <c r="K809" s="36"/>
      <c r="L809" s="79">
        <v>809</v>
      </c>
      <c r="M809" s="79"/>
      <c r="N809" s="74"/>
      <c r="O809" s="81" t="s">
        <v>1235</v>
      </c>
    </row>
    <row r="810" spans="1:15" ht="15">
      <c r="A810" s="66" t="s">
        <v>206</v>
      </c>
      <c r="B810" s="66" t="s">
        <v>228</v>
      </c>
      <c r="C810" s="67"/>
      <c r="D810" s="68"/>
      <c r="E810" s="69"/>
      <c r="F810" s="70"/>
      <c r="G810" s="67"/>
      <c r="H810" s="71"/>
      <c r="I810" s="72"/>
      <c r="J810" s="72"/>
      <c r="K810" s="36"/>
      <c r="L810" s="79">
        <v>810</v>
      </c>
      <c r="M810" s="79"/>
      <c r="N810" s="74"/>
      <c r="O810" s="81" t="s">
        <v>1235</v>
      </c>
    </row>
    <row r="811" spans="1:15" ht="15">
      <c r="A811" s="66" t="s">
        <v>206</v>
      </c>
      <c r="B811" s="66" t="s">
        <v>229</v>
      </c>
      <c r="C811" s="67"/>
      <c r="D811" s="68"/>
      <c r="E811" s="69"/>
      <c r="F811" s="70"/>
      <c r="G811" s="67"/>
      <c r="H811" s="71"/>
      <c r="I811" s="72"/>
      <c r="J811" s="72"/>
      <c r="K811" s="36"/>
      <c r="L811" s="79">
        <v>811</v>
      </c>
      <c r="M811" s="79"/>
      <c r="N811" s="74"/>
      <c r="O811" s="81" t="s">
        <v>1235</v>
      </c>
    </row>
    <row r="812" spans="1:15" ht="15">
      <c r="A812" s="66" t="s">
        <v>206</v>
      </c>
      <c r="B812" s="66" t="s">
        <v>230</v>
      </c>
      <c r="C812" s="67"/>
      <c r="D812" s="68"/>
      <c r="E812" s="69"/>
      <c r="F812" s="70"/>
      <c r="G812" s="67"/>
      <c r="H812" s="71"/>
      <c r="I812" s="72"/>
      <c r="J812" s="72"/>
      <c r="K812" s="36"/>
      <c r="L812" s="79">
        <v>812</v>
      </c>
      <c r="M812" s="79"/>
      <c r="N812" s="74"/>
      <c r="O812" s="81" t="s">
        <v>1235</v>
      </c>
    </row>
    <row r="813" spans="1:15" ht="15">
      <c r="A813" s="66" t="s">
        <v>206</v>
      </c>
      <c r="B813" s="66" t="s">
        <v>231</v>
      </c>
      <c r="C813" s="67"/>
      <c r="D813" s="68"/>
      <c r="E813" s="69"/>
      <c r="F813" s="70"/>
      <c r="G813" s="67"/>
      <c r="H813" s="71"/>
      <c r="I813" s="72"/>
      <c r="J813" s="72"/>
      <c r="K813" s="36"/>
      <c r="L813" s="79">
        <v>813</v>
      </c>
      <c r="M813" s="79"/>
      <c r="N813" s="74"/>
      <c r="O813" s="81" t="s">
        <v>1235</v>
      </c>
    </row>
    <row r="814" spans="1:15" ht="15">
      <c r="A814" s="66" t="s">
        <v>206</v>
      </c>
      <c r="B814" s="66" t="s">
        <v>232</v>
      </c>
      <c r="C814" s="67"/>
      <c r="D814" s="68"/>
      <c r="E814" s="69"/>
      <c r="F814" s="70"/>
      <c r="G814" s="67"/>
      <c r="H814" s="71"/>
      <c r="I814" s="72"/>
      <c r="J814" s="72"/>
      <c r="K814" s="36"/>
      <c r="L814" s="79">
        <v>814</v>
      </c>
      <c r="M814" s="79"/>
      <c r="N814" s="74"/>
      <c r="O814" s="81" t="s">
        <v>1235</v>
      </c>
    </row>
    <row r="815" spans="1:15" ht="15">
      <c r="A815" s="66" t="s">
        <v>206</v>
      </c>
      <c r="B815" s="66" t="s">
        <v>238</v>
      </c>
      <c r="C815" s="67"/>
      <c r="D815" s="68"/>
      <c r="E815" s="69"/>
      <c r="F815" s="70"/>
      <c r="G815" s="67"/>
      <c r="H815" s="71"/>
      <c r="I815" s="72"/>
      <c r="J815" s="72"/>
      <c r="K815" s="36"/>
      <c r="L815" s="79">
        <v>815</v>
      </c>
      <c r="M815" s="79"/>
      <c r="N815" s="74"/>
      <c r="O815" s="81" t="s">
        <v>1235</v>
      </c>
    </row>
    <row r="816" spans="1:15" ht="15">
      <c r="A816" s="66" t="s">
        <v>206</v>
      </c>
      <c r="B816" s="66" t="s">
        <v>233</v>
      </c>
      <c r="C816" s="67"/>
      <c r="D816" s="68"/>
      <c r="E816" s="69"/>
      <c r="F816" s="70"/>
      <c r="G816" s="67"/>
      <c r="H816" s="71"/>
      <c r="I816" s="72"/>
      <c r="J816" s="72"/>
      <c r="K816" s="36"/>
      <c r="L816" s="79">
        <v>816</v>
      </c>
      <c r="M816" s="79"/>
      <c r="N816" s="74"/>
      <c r="O816" s="81" t="s">
        <v>1235</v>
      </c>
    </row>
    <row r="817" spans="1:15" ht="15">
      <c r="A817" s="66" t="s">
        <v>206</v>
      </c>
      <c r="B817" s="66" t="s">
        <v>234</v>
      </c>
      <c r="C817" s="67"/>
      <c r="D817" s="68"/>
      <c r="E817" s="69"/>
      <c r="F817" s="70"/>
      <c r="G817" s="67"/>
      <c r="H817" s="71"/>
      <c r="I817" s="72"/>
      <c r="J817" s="72"/>
      <c r="K817" s="36"/>
      <c r="L817" s="79">
        <v>817</v>
      </c>
      <c r="M817" s="79"/>
      <c r="N817" s="74"/>
      <c r="O817" s="81" t="s">
        <v>1235</v>
      </c>
    </row>
    <row r="818" spans="1:15" ht="15">
      <c r="A818" s="66" t="s">
        <v>206</v>
      </c>
      <c r="B818" s="66" t="s">
        <v>237</v>
      </c>
      <c r="C818" s="67"/>
      <c r="D818" s="68"/>
      <c r="E818" s="69"/>
      <c r="F818" s="70"/>
      <c r="G818" s="67"/>
      <c r="H818" s="71"/>
      <c r="I818" s="72"/>
      <c r="J818" s="72"/>
      <c r="K818" s="36"/>
      <c r="L818" s="79">
        <v>818</v>
      </c>
      <c r="M818" s="79"/>
      <c r="N818" s="74"/>
      <c r="O818" s="81" t="s">
        <v>1235</v>
      </c>
    </row>
    <row r="819" spans="1:15" ht="15">
      <c r="A819" s="66" t="s">
        <v>206</v>
      </c>
      <c r="B819" s="66" t="s">
        <v>235</v>
      </c>
      <c r="C819" s="67"/>
      <c r="D819" s="68"/>
      <c r="E819" s="69"/>
      <c r="F819" s="70"/>
      <c r="G819" s="67"/>
      <c r="H819" s="71"/>
      <c r="I819" s="72"/>
      <c r="J819" s="72"/>
      <c r="K819" s="36"/>
      <c r="L819" s="79">
        <v>819</v>
      </c>
      <c r="M819" s="79"/>
      <c r="N819" s="74"/>
      <c r="O819" s="81" t="s">
        <v>1235</v>
      </c>
    </row>
    <row r="820" spans="1:15" ht="15">
      <c r="A820" s="66" t="s">
        <v>206</v>
      </c>
      <c r="B820" s="66" t="s">
        <v>236</v>
      </c>
      <c r="C820" s="67"/>
      <c r="D820" s="68"/>
      <c r="E820" s="69"/>
      <c r="F820" s="70"/>
      <c r="G820" s="67"/>
      <c r="H820" s="71"/>
      <c r="I820" s="72"/>
      <c r="J820" s="72"/>
      <c r="K820" s="36"/>
      <c r="L820" s="79">
        <v>820</v>
      </c>
      <c r="M820" s="79"/>
      <c r="N820" s="74"/>
      <c r="O820" s="81" t="s">
        <v>1235</v>
      </c>
    </row>
    <row r="821" spans="1:15" ht="15">
      <c r="A821" s="66" t="s">
        <v>206</v>
      </c>
      <c r="B821" s="66" t="s">
        <v>746</v>
      </c>
      <c r="C821" s="67"/>
      <c r="D821" s="68"/>
      <c r="E821" s="69"/>
      <c r="F821" s="70"/>
      <c r="G821" s="67"/>
      <c r="H821" s="71"/>
      <c r="I821" s="72"/>
      <c r="J821" s="72"/>
      <c r="K821" s="36"/>
      <c r="L821" s="79">
        <v>821</v>
      </c>
      <c r="M821" s="79"/>
      <c r="N821" s="74"/>
      <c r="O821" s="81" t="s">
        <v>1235</v>
      </c>
    </row>
    <row r="822" spans="1:15" ht="15">
      <c r="A822" s="66" t="s">
        <v>207</v>
      </c>
      <c r="B822" s="66" t="s">
        <v>747</v>
      </c>
      <c r="C822" s="67"/>
      <c r="D822" s="68"/>
      <c r="E822" s="69"/>
      <c r="F822" s="70"/>
      <c r="G822" s="67"/>
      <c r="H822" s="71"/>
      <c r="I822" s="72"/>
      <c r="J822" s="72"/>
      <c r="K822" s="36"/>
      <c r="L822" s="79">
        <v>822</v>
      </c>
      <c r="M822" s="79"/>
      <c r="N822" s="74"/>
      <c r="O822" s="81" t="s">
        <v>1235</v>
      </c>
    </row>
    <row r="823" spans="1:15" ht="15">
      <c r="A823" s="66" t="s">
        <v>207</v>
      </c>
      <c r="B823" s="66" t="s">
        <v>748</v>
      </c>
      <c r="C823" s="67"/>
      <c r="D823" s="68"/>
      <c r="E823" s="69"/>
      <c r="F823" s="70"/>
      <c r="G823" s="67"/>
      <c r="H823" s="71"/>
      <c r="I823" s="72"/>
      <c r="J823" s="72"/>
      <c r="K823" s="36"/>
      <c r="L823" s="79">
        <v>823</v>
      </c>
      <c r="M823" s="79"/>
      <c r="N823" s="74"/>
      <c r="O823" s="81" t="s">
        <v>1235</v>
      </c>
    </row>
    <row r="824" spans="1:15" ht="15">
      <c r="A824" s="66" t="s">
        <v>207</v>
      </c>
      <c r="B824" s="66" t="s">
        <v>288</v>
      </c>
      <c r="C824" s="67"/>
      <c r="D824" s="68"/>
      <c r="E824" s="69"/>
      <c r="F824" s="70"/>
      <c r="G824" s="67"/>
      <c r="H824" s="71"/>
      <c r="I824" s="72"/>
      <c r="J824" s="72"/>
      <c r="K824" s="36"/>
      <c r="L824" s="79">
        <v>824</v>
      </c>
      <c r="M824" s="79"/>
      <c r="N824" s="74"/>
      <c r="O824" s="81" t="s">
        <v>1235</v>
      </c>
    </row>
    <row r="825" spans="1:15" ht="15">
      <c r="A825" s="66" t="s">
        <v>207</v>
      </c>
      <c r="B825" s="66" t="s">
        <v>563</v>
      </c>
      <c r="C825" s="67"/>
      <c r="D825" s="68"/>
      <c r="E825" s="69"/>
      <c r="F825" s="70"/>
      <c r="G825" s="67"/>
      <c r="H825" s="71"/>
      <c r="I825" s="72"/>
      <c r="J825" s="72"/>
      <c r="K825" s="36"/>
      <c r="L825" s="79">
        <v>825</v>
      </c>
      <c r="M825" s="79"/>
      <c r="N825" s="74"/>
      <c r="O825" s="81" t="s">
        <v>1235</v>
      </c>
    </row>
    <row r="826" spans="1:15" ht="15">
      <c r="A826" s="66" t="s">
        <v>207</v>
      </c>
      <c r="B826" s="66" t="s">
        <v>749</v>
      </c>
      <c r="C826" s="67"/>
      <c r="D826" s="68"/>
      <c r="E826" s="69"/>
      <c r="F826" s="70"/>
      <c r="G826" s="67"/>
      <c r="H826" s="71"/>
      <c r="I826" s="72"/>
      <c r="J826" s="72"/>
      <c r="K826" s="36"/>
      <c r="L826" s="79">
        <v>826</v>
      </c>
      <c r="M826" s="79"/>
      <c r="N826" s="74"/>
      <c r="O826" s="81" t="s">
        <v>1235</v>
      </c>
    </row>
    <row r="827" spans="1:15" ht="15">
      <c r="A827" s="66" t="s">
        <v>207</v>
      </c>
      <c r="B827" s="66" t="s">
        <v>750</v>
      </c>
      <c r="C827" s="67"/>
      <c r="D827" s="68"/>
      <c r="E827" s="69"/>
      <c r="F827" s="70"/>
      <c r="G827" s="67"/>
      <c r="H827" s="71"/>
      <c r="I827" s="72"/>
      <c r="J827" s="72"/>
      <c r="K827" s="36"/>
      <c r="L827" s="79">
        <v>827</v>
      </c>
      <c r="M827" s="79"/>
      <c r="N827" s="74"/>
      <c r="O827" s="81" t="s">
        <v>1235</v>
      </c>
    </row>
    <row r="828" spans="1:15" ht="15">
      <c r="A828" s="66" t="s">
        <v>207</v>
      </c>
      <c r="B828" s="66" t="s">
        <v>751</v>
      </c>
      <c r="C828" s="67"/>
      <c r="D828" s="68"/>
      <c r="E828" s="69"/>
      <c r="F828" s="70"/>
      <c r="G828" s="67"/>
      <c r="H828" s="71"/>
      <c r="I828" s="72"/>
      <c r="J828" s="72"/>
      <c r="K828" s="36"/>
      <c r="L828" s="79">
        <v>828</v>
      </c>
      <c r="M828" s="79"/>
      <c r="N828" s="74"/>
      <c r="O828" s="81" t="s">
        <v>1235</v>
      </c>
    </row>
    <row r="829" spans="1:15" ht="15">
      <c r="A829" s="66" t="s">
        <v>207</v>
      </c>
      <c r="B829" s="66" t="s">
        <v>564</v>
      </c>
      <c r="C829" s="67"/>
      <c r="D829" s="68"/>
      <c r="E829" s="69"/>
      <c r="F829" s="70"/>
      <c r="G829" s="67"/>
      <c r="H829" s="71"/>
      <c r="I829" s="72"/>
      <c r="J829" s="72"/>
      <c r="K829" s="36"/>
      <c r="L829" s="79">
        <v>829</v>
      </c>
      <c r="M829" s="79"/>
      <c r="N829" s="74"/>
      <c r="O829" s="81" t="s">
        <v>1235</v>
      </c>
    </row>
    <row r="830" spans="1:15" ht="15">
      <c r="A830" s="66" t="s">
        <v>207</v>
      </c>
      <c r="B830" s="66" t="s">
        <v>752</v>
      </c>
      <c r="C830" s="67"/>
      <c r="D830" s="68"/>
      <c r="E830" s="69"/>
      <c r="F830" s="70"/>
      <c r="G830" s="67"/>
      <c r="H830" s="71"/>
      <c r="I830" s="72"/>
      <c r="J830" s="72"/>
      <c r="K830" s="36"/>
      <c r="L830" s="79">
        <v>830</v>
      </c>
      <c r="M830" s="79"/>
      <c r="N830" s="74"/>
      <c r="O830" s="81" t="s">
        <v>1235</v>
      </c>
    </row>
    <row r="831" spans="1:15" ht="15">
      <c r="A831" s="66" t="s">
        <v>207</v>
      </c>
      <c r="B831" s="66" t="s">
        <v>285</v>
      </c>
      <c r="C831" s="67"/>
      <c r="D831" s="68"/>
      <c r="E831" s="69"/>
      <c r="F831" s="70"/>
      <c r="G831" s="67"/>
      <c r="H831" s="71"/>
      <c r="I831" s="72"/>
      <c r="J831" s="72"/>
      <c r="K831" s="36"/>
      <c r="L831" s="79">
        <v>831</v>
      </c>
      <c r="M831" s="79"/>
      <c r="N831" s="74"/>
      <c r="O831" s="81" t="s">
        <v>1235</v>
      </c>
    </row>
    <row r="832" spans="1:15" ht="15">
      <c r="A832" s="66" t="s">
        <v>207</v>
      </c>
      <c r="B832" s="66" t="s">
        <v>753</v>
      </c>
      <c r="C832" s="67"/>
      <c r="D832" s="68"/>
      <c r="E832" s="69"/>
      <c r="F832" s="70"/>
      <c r="G832" s="67"/>
      <c r="H832" s="71"/>
      <c r="I832" s="72"/>
      <c r="J832" s="72"/>
      <c r="K832" s="36"/>
      <c r="L832" s="79">
        <v>832</v>
      </c>
      <c r="M832" s="79"/>
      <c r="N832" s="74"/>
      <c r="O832" s="81" t="s">
        <v>1235</v>
      </c>
    </row>
    <row r="833" spans="1:15" ht="15">
      <c r="A833" s="66" t="s">
        <v>207</v>
      </c>
      <c r="B833" s="66" t="s">
        <v>754</v>
      </c>
      <c r="C833" s="67"/>
      <c r="D833" s="68"/>
      <c r="E833" s="69"/>
      <c r="F833" s="70"/>
      <c r="G833" s="67"/>
      <c r="H833" s="71"/>
      <c r="I833" s="72"/>
      <c r="J833" s="72"/>
      <c r="K833" s="36"/>
      <c r="L833" s="79">
        <v>833</v>
      </c>
      <c r="M833" s="79"/>
      <c r="N833" s="74"/>
      <c r="O833" s="81" t="s">
        <v>1235</v>
      </c>
    </row>
    <row r="834" spans="1:15" ht="15">
      <c r="A834" s="66" t="s">
        <v>207</v>
      </c>
      <c r="B834" s="66" t="s">
        <v>755</v>
      </c>
      <c r="C834" s="67"/>
      <c r="D834" s="68"/>
      <c r="E834" s="69"/>
      <c r="F834" s="70"/>
      <c r="G834" s="67"/>
      <c r="H834" s="71"/>
      <c r="I834" s="72"/>
      <c r="J834" s="72"/>
      <c r="K834" s="36"/>
      <c r="L834" s="79">
        <v>834</v>
      </c>
      <c r="M834" s="79"/>
      <c r="N834" s="74"/>
      <c r="O834" s="81" t="s">
        <v>1235</v>
      </c>
    </row>
    <row r="835" spans="1:15" ht="15">
      <c r="A835" s="66" t="s">
        <v>207</v>
      </c>
      <c r="B835" s="66" t="s">
        <v>756</v>
      </c>
      <c r="C835" s="67"/>
      <c r="D835" s="68"/>
      <c r="E835" s="69"/>
      <c r="F835" s="70"/>
      <c r="G835" s="67"/>
      <c r="H835" s="71"/>
      <c r="I835" s="72"/>
      <c r="J835" s="72"/>
      <c r="K835" s="36"/>
      <c r="L835" s="79">
        <v>835</v>
      </c>
      <c r="M835" s="79"/>
      <c r="N835" s="74"/>
      <c r="O835" s="81" t="s">
        <v>1235</v>
      </c>
    </row>
    <row r="836" spans="1:15" ht="15">
      <c r="A836" s="66" t="s">
        <v>207</v>
      </c>
      <c r="B836" s="66" t="s">
        <v>692</v>
      </c>
      <c r="C836" s="67"/>
      <c r="D836" s="68"/>
      <c r="E836" s="69"/>
      <c r="F836" s="70"/>
      <c r="G836" s="67"/>
      <c r="H836" s="71"/>
      <c r="I836" s="72"/>
      <c r="J836" s="72"/>
      <c r="K836" s="36"/>
      <c r="L836" s="79">
        <v>836</v>
      </c>
      <c r="M836" s="79"/>
      <c r="N836" s="74"/>
      <c r="O836" s="81" t="s">
        <v>1235</v>
      </c>
    </row>
    <row r="837" spans="1:15" ht="15">
      <c r="A837" s="66" t="s">
        <v>207</v>
      </c>
      <c r="B837" s="66" t="s">
        <v>757</v>
      </c>
      <c r="C837" s="67"/>
      <c r="D837" s="68"/>
      <c r="E837" s="69"/>
      <c r="F837" s="70"/>
      <c r="G837" s="67"/>
      <c r="H837" s="71"/>
      <c r="I837" s="72"/>
      <c r="J837" s="72"/>
      <c r="K837" s="36"/>
      <c r="L837" s="79">
        <v>837</v>
      </c>
      <c r="M837" s="79"/>
      <c r="N837" s="74"/>
      <c r="O837" s="81" t="s">
        <v>1235</v>
      </c>
    </row>
    <row r="838" spans="1:15" ht="15">
      <c r="A838" s="66" t="s">
        <v>207</v>
      </c>
      <c r="B838" s="66" t="s">
        <v>758</v>
      </c>
      <c r="C838" s="67"/>
      <c r="D838" s="68"/>
      <c r="E838" s="69"/>
      <c r="F838" s="70"/>
      <c r="G838" s="67"/>
      <c r="H838" s="71"/>
      <c r="I838" s="72"/>
      <c r="J838" s="72"/>
      <c r="K838" s="36"/>
      <c r="L838" s="79">
        <v>838</v>
      </c>
      <c r="M838" s="79"/>
      <c r="N838" s="74"/>
      <c r="O838" s="81" t="s">
        <v>1235</v>
      </c>
    </row>
    <row r="839" spans="1:15" ht="15">
      <c r="A839" s="66" t="s">
        <v>207</v>
      </c>
      <c r="B839" s="66" t="s">
        <v>759</v>
      </c>
      <c r="C839" s="67"/>
      <c r="D839" s="68"/>
      <c r="E839" s="69"/>
      <c r="F839" s="70"/>
      <c r="G839" s="67"/>
      <c r="H839" s="71"/>
      <c r="I839" s="72"/>
      <c r="J839" s="72"/>
      <c r="K839" s="36"/>
      <c r="L839" s="79">
        <v>839</v>
      </c>
      <c r="M839" s="79"/>
      <c r="N839" s="74"/>
      <c r="O839" s="81" t="s">
        <v>1235</v>
      </c>
    </row>
    <row r="840" spans="1:15" ht="15">
      <c r="A840" s="66" t="s">
        <v>207</v>
      </c>
      <c r="B840" s="66" t="s">
        <v>760</v>
      </c>
      <c r="C840" s="67"/>
      <c r="D840" s="68"/>
      <c r="E840" s="69"/>
      <c r="F840" s="70"/>
      <c r="G840" s="67"/>
      <c r="H840" s="71"/>
      <c r="I840" s="72"/>
      <c r="J840" s="72"/>
      <c r="K840" s="36"/>
      <c r="L840" s="79">
        <v>840</v>
      </c>
      <c r="M840" s="79"/>
      <c r="N840" s="74"/>
      <c r="O840" s="81" t="s">
        <v>1235</v>
      </c>
    </row>
    <row r="841" spans="1:15" ht="15">
      <c r="A841" s="66" t="s">
        <v>207</v>
      </c>
      <c r="B841" s="66" t="s">
        <v>761</v>
      </c>
      <c r="C841" s="67"/>
      <c r="D841" s="68"/>
      <c r="E841" s="69"/>
      <c r="F841" s="70"/>
      <c r="G841" s="67"/>
      <c r="H841" s="71"/>
      <c r="I841" s="72"/>
      <c r="J841" s="72"/>
      <c r="K841" s="36"/>
      <c r="L841" s="79">
        <v>841</v>
      </c>
      <c r="M841" s="79"/>
      <c r="N841" s="74"/>
      <c r="O841" s="81" t="s">
        <v>1235</v>
      </c>
    </row>
    <row r="842" spans="1:15" ht="15">
      <c r="A842" s="66" t="s">
        <v>207</v>
      </c>
      <c r="B842" s="66" t="s">
        <v>762</v>
      </c>
      <c r="C842" s="67"/>
      <c r="D842" s="68"/>
      <c r="E842" s="69"/>
      <c r="F842" s="70"/>
      <c r="G842" s="67"/>
      <c r="H842" s="71"/>
      <c r="I842" s="72"/>
      <c r="J842" s="72"/>
      <c r="K842" s="36"/>
      <c r="L842" s="79">
        <v>842</v>
      </c>
      <c r="M842" s="79"/>
      <c r="N842" s="74"/>
      <c r="O842" s="81" t="s">
        <v>1235</v>
      </c>
    </row>
    <row r="843" spans="1:15" ht="15">
      <c r="A843" s="66" t="s">
        <v>207</v>
      </c>
      <c r="B843" s="66" t="s">
        <v>763</v>
      </c>
      <c r="C843" s="67"/>
      <c r="D843" s="68"/>
      <c r="E843" s="69"/>
      <c r="F843" s="70"/>
      <c r="G843" s="67"/>
      <c r="H843" s="71"/>
      <c r="I843" s="72"/>
      <c r="J843" s="72"/>
      <c r="K843" s="36"/>
      <c r="L843" s="79">
        <v>843</v>
      </c>
      <c r="M843" s="79"/>
      <c r="N843" s="74"/>
      <c r="O843" s="81" t="s">
        <v>1235</v>
      </c>
    </row>
    <row r="844" spans="1:15" ht="15">
      <c r="A844" s="66" t="s">
        <v>207</v>
      </c>
      <c r="B844" s="66" t="s">
        <v>764</v>
      </c>
      <c r="C844" s="67"/>
      <c r="D844" s="68"/>
      <c r="E844" s="69"/>
      <c r="F844" s="70"/>
      <c r="G844" s="67"/>
      <c r="H844" s="71"/>
      <c r="I844" s="72"/>
      <c r="J844" s="72"/>
      <c r="K844" s="36"/>
      <c r="L844" s="79">
        <v>844</v>
      </c>
      <c r="M844" s="79"/>
      <c r="N844" s="74"/>
      <c r="O844" s="81" t="s">
        <v>1235</v>
      </c>
    </row>
    <row r="845" spans="1:15" ht="15">
      <c r="A845" s="66" t="s">
        <v>207</v>
      </c>
      <c r="B845" s="66" t="s">
        <v>765</v>
      </c>
      <c r="C845" s="67"/>
      <c r="D845" s="68"/>
      <c r="E845" s="69"/>
      <c r="F845" s="70"/>
      <c r="G845" s="67"/>
      <c r="H845" s="71"/>
      <c r="I845" s="72"/>
      <c r="J845" s="72"/>
      <c r="K845" s="36"/>
      <c r="L845" s="79">
        <v>845</v>
      </c>
      <c r="M845" s="79"/>
      <c r="N845" s="74"/>
      <c r="O845" s="81" t="s">
        <v>1235</v>
      </c>
    </row>
    <row r="846" spans="1:15" ht="15">
      <c r="A846" s="66" t="s">
        <v>207</v>
      </c>
      <c r="B846" s="66" t="s">
        <v>766</v>
      </c>
      <c r="C846" s="67"/>
      <c r="D846" s="68"/>
      <c r="E846" s="69"/>
      <c r="F846" s="70"/>
      <c r="G846" s="67"/>
      <c r="H846" s="71"/>
      <c r="I846" s="72"/>
      <c r="J846" s="72"/>
      <c r="K846" s="36"/>
      <c r="L846" s="79">
        <v>846</v>
      </c>
      <c r="M846" s="79"/>
      <c r="N846" s="74"/>
      <c r="O846" s="81" t="s">
        <v>1235</v>
      </c>
    </row>
    <row r="847" spans="1:15" ht="15">
      <c r="A847" s="66" t="s">
        <v>207</v>
      </c>
      <c r="B847" s="66" t="s">
        <v>767</v>
      </c>
      <c r="C847" s="67"/>
      <c r="D847" s="68"/>
      <c r="E847" s="69"/>
      <c r="F847" s="70"/>
      <c r="G847" s="67"/>
      <c r="H847" s="71"/>
      <c r="I847" s="72"/>
      <c r="J847" s="72"/>
      <c r="K847" s="36"/>
      <c r="L847" s="79">
        <v>847</v>
      </c>
      <c r="M847" s="79"/>
      <c r="N847" s="74"/>
      <c r="O847" s="81" t="s">
        <v>1235</v>
      </c>
    </row>
    <row r="848" spans="1:15" ht="15">
      <c r="A848" s="66" t="s">
        <v>207</v>
      </c>
      <c r="B848" s="66" t="s">
        <v>768</v>
      </c>
      <c r="C848" s="67"/>
      <c r="D848" s="68"/>
      <c r="E848" s="69"/>
      <c r="F848" s="70"/>
      <c r="G848" s="67"/>
      <c r="H848" s="71"/>
      <c r="I848" s="72"/>
      <c r="J848" s="72"/>
      <c r="K848" s="36"/>
      <c r="L848" s="79">
        <v>848</v>
      </c>
      <c r="M848" s="79"/>
      <c r="N848" s="74"/>
      <c r="O848" s="81" t="s">
        <v>1235</v>
      </c>
    </row>
    <row r="849" spans="1:15" ht="15">
      <c r="A849" s="66" t="s">
        <v>207</v>
      </c>
      <c r="B849" s="66" t="s">
        <v>769</v>
      </c>
      <c r="C849" s="67"/>
      <c r="D849" s="68"/>
      <c r="E849" s="69"/>
      <c r="F849" s="70"/>
      <c r="G849" s="67"/>
      <c r="H849" s="71"/>
      <c r="I849" s="72"/>
      <c r="J849" s="72"/>
      <c r="K849" s="36"/>
      <c r="L849" s="79">
        <v>849</v>
      </c>
      <c r="M849" s="79"/>
      <c r="N849" s="74"/>
      <c r="O849" s="81" t="s">
        <v>1235</v>
      </c>
    </row>
    <row r="850" spans="1:15" ht="15">
      <c r="A850" s="66" t="s">
        <v>207</v>
      </c>
      <c r="B850" s="66" t="s">
        <v>770</v>
      </c>
      <c r="C850" s="67"/>
      <c r="D850" s="68"/>
      <c r="E850" s="69"/>
      <c r="F850" s="70"/>
      <c r="G850" s="67"/>
      <c r="H850" s="71"/>
      <c r="I850" s="72"/>
      <c r="J850" s="72"/>
      <c r="K850" s="36"/>
      <c r="L850" s="79">
        <v>850</v>
      </c>
      <c r="M850" s="79"/>
      <c r="N850" s="74"/>
      <c r="O850" s="81" t="s">
        <v>1235</v>
      </c>
    </row>
    <row r="851" spans="1:15" ht="15">
      <c r="A851" s="66" t="s">
        <v>207</v>
      </c>
      <c r="B851" s="66" t="s">
        <v>771</v>
      </c>
      <c r="C851" s="67"/>
      <c r="D851" s="68"/>
      <c r="E851" s="69"/>
      <c r="F851" s="70"/>
      <c r="G851" s="67"/>
      <c r="H851" s="71"/>
      <c r="I851" s="72"/>
      <c r="J851" s="72"/>
      <c r="K851" s="36"/>
      <c r="L851" s="79">
        <v>851</v>
      </c>
      <c r="M851" s="79"/>
      <c r="N851" s="74"/>
      <c r="O851" s="81" t="s">
        <v>1235</v>
      </c>
    </row>
    <row r="852" spans="1:15" ht="15">
      <c r="A852" s="66" t="s">
        <v>207</v>
      </c>
      <c r="B852" s="66" t="s">
        <v>772</v>
      </c>
      <c r="C852" s="67"/>
      <c r="D852" s="68"/>
      <c r="E852" s="69"/>
      <c r="F852" s="70"/>
      <c r="G852" s="67"/>
      <c r="H852" s="71"/>
      <c r="I852" s="72"/>
      <c r="J852" s="72"/>
      <c r="K852" s="36"/>
      <c r="L852" s="79">
        <v>852</v>
      </c>
      <c r="M852" s="79"/>
      <c r="N852" s="74"/>
      <c r="O852" s="81" t="s">
        <v>1235</v>
      </c>
    </row>
    <row r="853" spans="1:15" ht="15">
      <c r="A853" s="66" t="s">
        <v>207</v>
      </c>
      <c r="B853" s="66" t="s">
        <v>773</v>
      </c>
      <c r="C853" s="67"/>
      <c r="D853" s="68"/>
      <c r="E853" s="69"/>
      <c r="F853" s="70"/>
      <c r="G853" s="67"/>
      <c r="H853" s="71"/>
      <c r="I853" s="72"/>
      <c r="J853" s="72"/>
      <c r="K853" s="36"/>
      <c r="L853" s="79">
        <v>853</v>
      </c>
      <c r="M853" s="79"/>
      <c r="N853" s="74"/>
      <c r="O853" s="81" t="s">
        <v>1235</v>
      </c>
    </row>
    <row r="854" spans="1:15" ht="15">
      <c r="A854" s="66" t="s">
        <v>207</v>
      </c>
      <c r="B854" s="66" t="s">
        <v>474</v>
      </c>
      <c r="C854" s="67"/>
      <c r="D854" s="68"/>
      <c r="E854" s="69"/>
      <c r="F854" s="70"/>
      <c r="G854" s="67"/>
      <c r="H854" s="71"/>
      <c r="I854" s="72"/>
      <c r="J854" s="72"/>
      <c r="K854" s="36"/>
      <c r="L854" s="79">
        <v>854</v>
      </c>
      <c r="M854" s="79"/>
      <c r="N854" s="74"/>
      <c r="O854" s="81" t="s">
        <v>1235</v>
      </c>
    </row>
    <row r="855" spans="1:15" ht="15">
      <c r="A855" s="66" t="s">
        <v>207</v>
      </c>
      <c r="B855" s="66" t="s">
        <v>774</v>
      </c>
      <c r="C855" s="67"/>
      <c r="D855" s="68"/>
      <c r="E855" s="69"/>
      <c r="F855" s="70"/>
      <c r="G855" s="67"/>
      <c r="H855" s="71"/>
      <c r="I855" s="72"/>
      <c r="J855" s="72"/>
      <c r="K855" s="36"/>
      <c r="L855" s="79">
        <v>855</v>
      </c>
      <c r="M855" s="79"/>
      <c r="N855" s="74"/>
      <c r="O855" s="81" t="s">
        <v>1235</v>
      </c>
    </row>
    <row r="856" spans="1:15" ht="15">
      <c r="A856" s="66" t="s">
        <v>207</v>
      </c>
      <c r="B856" s="66" t="s">
        <v>607</v>
      </c>
      <c r="C856" s="67"/>
      <c r="D856" s="68"/>
      <c r="E856" s="69"/>
      <c r="F856" s="70"/>
      <c r="G856" s="67"/>
      <c r="H856" s="71"/>
      <c r="I856" s="72"/>
      <c r="J856" s="72"/>
      <c r="K856" s="36"/>
      <c r="L856" s="79">
        <v>856</v>
      </c>
      <c r="M856" s="79"/>
      <c r="N856" s="74"/>
      <c r="O856" s="81" t="s">
        <v>1235</v>
      </c>
    </row>
    <row r="857" spans="1:15" ht="15">
      <c r="A857" s="66" t="s">
        <v>207</v>
      </c>
      <c r="B857" s="66" t="s">
        <v>569</v>
      </c>
      <c r="C857" s="67"/>
      <c r="D857" s="68"/>
      <c r="E857" s="69"/>
      <c r="F857" s="70"/>
      <c r="G857" s="67"/>
      <c r="H857" s="71"/>
      <c r="I857" s="72"/>
      <c r="J857" s="72"/>
      <c r="K857" s="36"/>
      <c r="L857" s="79">
        <v>857</v>
      </c>
      <c r="M857" s="79"/>
      <c r="N857" s="74"/>
      <c r="O857" s="81" t="s">
        <v>1235</v>
      </c>
    </row>
    <row r="858" spans="1:15" ht="15">
      <c r="A858" s="66" t="s">
        <v>207</v>
      </c>
      <c r="B858" s="66" t="s">
        <v>775</v>
      </c>
      <c r="C858" s="67"/>
      <c r="D858" s="68"/>
      <c r="E858" s="69"/>
      <c r="F858" s="70"/>
      <c r="G858" s="67"/>
      <c r="H858" s="71"/>
      <c r="I858" s="72"/>
      <c r="J858" s="72"/>
      <c r="K858" s="36"/>
      <c r="L858" s="79">
        <v>858</v>
      </c>
      <c r="M858" s="79"/>
      <c r="N858" s="74"/>
      <c r="O858" s="81" t="s">
        <v>1235</v>
      </c>
    </row>
    <row r="859" spans="1:15" ht="15">
      <c r="A859" s="66" t="s">
        <v>207</v>
      </c>
      <c r="B859" s="66" t="s">
        <v>776</v>
      </c>
      <c r="C859" s="67"/>
      <c r="D859" s="68"/>
      <c r="E859" s="69"/>
      <c r="F859" s="70"/>
      <c r="G859" s="67"/>
      <c r="H859" s="71"/>
      <c r="I859" s="72"/>
      <c r="J859" s="72"/>
      <c r="K859" s="36"/>
      <c r="L859" s="79">
        <v>859</v>
      </c>
      <c r="M859" s="79"/>
      <c r="N859" s="74"/>
      <c r="O859" s="81" t="s">
        <v>1235</v>
      </c>
    </row>
    <row r="860" spans="1:15" ht="15">
      <c r="A860" s="66" t="s">
        <v>208</v>
      </c>
      <c r="B860" s="66" t="s">
        <v>777</v>
      </c>
      <c r="C860" s="67"/>
      <c r="D860" s="68"/>
      <c r="E860" s="69"/>
      <c r="F860" s="70"/>
      <c r="G860" s="67"/>
      <c r="H860" s="71"/>
      <c r="I860" s="72"/>
      <c r="J860" s="72"/>
      <c r="K860" s="36"/>
      <c r="L860" s="79">
        <v>860</v>
      </c>
      <c r="M860" s="79"/>
      <c r="N860" s="74"/>
      <c r="O860" s="81" t="s">
        <v>1235</v>
      </c>
    </row>
    <row r="861" spans="1:15" ht="15">
      <c r="A861" s="66" t="s">
        <v>208</v>
      </c>
      <c r="B861" s="66" t="s">
        <v>778</v>
      </c>
      <c r="C861" s="67"/>
      <c r="D861" s="68"/>
      <c r="E861" s="69"/>
      <c r="F861" s="70"/>
      <c r="G861" s="67"/>
      <c r="H861" s="71"/>
      <c r="I861" s="72"/>
      <c r="J861" s="72"/>
      <c r="K861" s="36"/>
      <c r="L861" s="79">
        <v>861</v>
      </c>
      <c r="M861" s="79"/>
      <c r="N861" s="74"/>
      <c r="O861" s="81" t="s">
        <v>1235</v>
      </c>
    </row>
    <row r="862" spans="1:15" ht="15">
      <c r="A862" s="66" t="s">
        <v>208</v>
      </c>
      <c r="B862" s="66" t="s">
        <v>779</v>
      </c>
      <c r="C862" s="67"/>
      <c r="D862" s="68"/>
      <c r="E862" s="69"/>
      <c r="F862" s="70"/>
      <c r="G862" s="67"/>
      <c r="H862" s="71"/>
      <c r="I862" s="72"/>
      <c r="J862" s="72"/>
      <c r="K862" s="36"/>
      <c r="L862" s="79">
        <v>862</v>
      </c>
      <c r="M862" s="79"/>
      <c r="N862" s="74"/>
      <c r="O862" s="81" t="s">
        <v>1235</v>
      </c>
    </row>
    <row r="863" spans="1:15" ht="15">
      <c r="A863" s="66" t="s">
        <v>208</v>
      </c>
      <c r="B863" s="66" t="s">
        <v>780</v>
      </c>
      <c r="C863" s="67"/>
      <c r="D863" s="68"/>
      <c r="E863" s="69"/>
      <c r="F863" s="70"/>
      <c r="G863" s="67"/>
      <c r="H863" s="71"/>
      <c r="I863" s="72"/>
      <c r="J863" s="72"/>
      <c r="K863" s="36"/>
      <c r="L863" s="79">
        <v>863</v>
      </c>
      <c r="M863" s="79"/>
      <c r="N863" s="74"/>
      <c r="O863" s="81" t="s">
        <v>1235</v>
      </c>
    </row>
    <row r="864" spans="1:15" ht="15">
      <c r="A864" s="66" t="s">
        <v>208</v>
      </c>
      <c r="B864" s="66" t="s">
        <v>781</v>
      </c>
      <c r="C864" s="67"/>
      <c r="D864" s="68"/>
      <c r="E864" s="69"/>
      <c r="F864" s="70"/>
      <c r="G864" s="67"/>
      <c r="H864" s="71"/>
      <c r="I864" s="72"/>
      <c r="J864" s="72"/>
      <c r="K864" s="36"/>
      <c r="L864" s="79">
        <v>864</v>
      </c>
      <c r="M864" s="79"/>
      <c r="N864" s="74"/>
      <c r="O864" s="81" t="s">
        <v>1235</v>
      </c>
    </row>
    <row r="865" spans="1:15" ht="15">
      <c r="A865" s="66" t="s">
        <v>208</v>
      </c>
      <c r="B865" s="66" t="s">
        <v>782</v>
      </c>
      <c r="C865" s="67"/>
      <c r="D865" s="68"/>
      <c r="E865" s="69"/>
      <c r="F865" s="70"/>
      <c r="G865" s="67"/>
      <c r="H865" s="71"/>
      <c r="I865" s="72"/>
      <c r="J865" s="72"/>
      <c r="K865" s="36"/>
      <c r="L865" s="79">
        <v>865</v>
      </c>
      <c r="M865" s="79"/>
      <c r="N865" s="74"/>
      <c r="O865" s="81" t="s">
        <v>1235</v>
      </c>
    </row>
    <row r="866" spans="1:15" ht="15">
      <c r="A866" s="66" t="s">
        <v>208</v>
      </c>
      <c r="B866" s="66" t="s">
        <v>700</v>
      </c>
      <c r="C866" s="67"/>
      <c r="D866" s="68"/>
      <c r="E866" s="69"/>
      <c r="F866" s="70"/>
      <c r="G866" s="67"/>
      <c r="H866" s="71"/>
      <c r="I866" s="72"/>
      <c r="J866" s="72"/>
      <c r="K866" s="36"/>
      <c r="L866" s="79">
        <v>866</v>
      </c>
      <c r="M866" s="79"/>
      <c r="N866" s="74"/>
      <c r="O866" s="81" t="s">
        <v>1235</v>
      </c>
    </row>
    <row r="867" spans="1:15" ht="15">
      <c r="A867" s="66" t="s">
        <v>208</v>
      </c>
      <c r="B867" s="66" t="s">
        <v>783</v>
      </c>
      <c r="C867" s="67"/>
      <c r="D867" s="68"/>
      <c r="E867" s="69"/>
      <c r="F867" s="70"/>
      <c r="G867" s="67"/>
      <c r="H867" s="71"/>
      <c r="I867" s="72"/>
      <c r="J867" s="72"/>
      <c r="K867" s="36"/>
      <c r="L867" s="79">
        <v>867</v>
      </c>
      <c r="M867" s="79"/>
      <c r="N867" s="74"/>
      <c r="O867" s="81" t="s">
        <v>1235</v>
      </c>
    </row>
    <row r="868" spans="1:15" ht="15">
      <c r="A868" s="66" t="s">
        <v>208</v>
      </c>
      <c r="B868" s="66" t="s">
        <v>319</v>
      </c>
      <c r="C868" s="67"/>
      <c r="D868" s="68"/>
      <c r="E868" s="69"/>
      <c r="F868" s="70"/>
      <c r="G868" s="67"/>
      <c r="H868" s="71"/>
      <c r="I868" s="72"/>
      <c r="J868" s="72"/>
      <c r="K868" s="36"/>
      <c r="L868" s="79">
        <v>868</v>
      </c>
      <c r="M868" s="79"/>
      <c r="N868" s="74"/>
      <c r="O868" s="81" t="s">
        <v>1235</v>
      </c>
    </row>
    <row r="869" spans="1:15" ht="15">
      <c r="A869" s="66" t="s">
        <v>208</v>
      </c>
      <c r="B869" s="66" t="s">
        <v>784</v>
      </c>
      <c r="C869" s="67"/>
      <c r="D869" s="68"/>
      <c r="E869" s="69"/>
      <c r="F869" s="70"/>
      <c r="G869" s="67"/>
      <c r="H869" s="71"/>
      <c r="I869" s="72"/>
      <c r="J869" s="72"/>
      <c r="K869" s="36"/>
      <c r="L869" s="79">
        <v>869</v>
      </c>
      <c r="M869" s="79"/>
      <c r="N869" s="74"/>
      <c r="O869" s="81" t="s">
        <v>1235</v>
      </c>
    </row>
    <row r="870" spans="1:15" ht="15">
      <c r="A870" s="66" t="s">
        <v>208</v>
      </c>
      <c r="B870" s="66" t="s">
        <v>785</v>
      </c>
      <c r="C870" s="67"/>
      <c r="D870" s="68"/>
      <c r="E870" s="69"/>
      <c r="F870" s="70"/>
      <c r="G870" s="67"/>
      <c r="H870" s="71"/>
      <c r="I870" s="72"/>
      <c r="J870" s="72"/>
      <c r="K870" s="36"/>
      <c r="L870" s="79">
        <v>870</v>
      </c>
      <c r="M870" s="79"/>
      <c r="N870" s="74"/>
      <c r="O870" s="81" t="s">
        <v>1235</v>
      </c>
    </row>
    <row r="871" spans="1:15" ht="15">
      <c r="A871" s="66" t="s">
        <v>208</v>
      </c>
      <c r="B871" s="66" t="s">
        <v>786</v>
      </c>
      <c r="C871" s="67"/>
      <c r="D871" s="68"/>
      <c r="E871" s="69"/>
      <c r="F871" s="70"/>
      <c r="G871" s="67"/>
      <c r="H871" s="71"/>
      <c r="I871" s="72"/>
      <c r="J871" s="72"/>
      <c r="K871" s="36"/>
      <c r="L871" s="79">
        <v>871</v>
      </c>
      <c r="M871" s="79"/>
      <c r="N871" s="74"/>
      <c r="O871" s="81" t="s">
        <v>1235</v>
      </c>
    </row>
    <row r="872" spans="1:15" ht="15">
      <c r="A872" s="66" t="s">
        <v>208</v>
      </c>
      <c r="B872" s="66" t="s">
        <v>787</v>
      </c>
      <c r="C872" s="67"/>
      <c r="D872" s="68"/>
      <c r="E872" s="69"/>
      <c r="F872" s="70"/>
      <c r="G872" s="67"/>
      <c r="H872" s="71"/>
      <c r="I872" s="72"/>
      <c r="J872" s="72"/>
      <c r="K872" s="36"/>
      <c r="L872" s="79">
        <v>872</v>
      </c>
      <c r="M872" s="79"/>
      <c r="N872" s="74"/>
      <c r="O872" s="81" t="s">
        <v>1235</v>
      </c>
    </row>
    <row r="873" spans="1:15" ht="15">
      <c r="A873" s="66" t="s">
        <v>208</v>
      </c>
      <c r="B873" s="66" t="s">
        <v>788</v>
      </c>
      <c r="C873" s="67"/>
      <c r="D873" s="68"/>
      <c r="E873" s="69"/>
      <c r="F873" s="70"/>
      <c r="G873" s="67"/>
      <c r="H873" s="71"/>
      <c r="I873" s="72"/>
      <c r="J873" s="72"/>
      <c r="K873" s="36"/>
      <c r="L873" s="79">
        <v>873</v>
      </c>
      <c r="M873" s="79"/>
      <c r="N873" s="74"/>
      <c r="O873" s="81" t="s">
        <v>1235</v>
      </c>
    </row>
    <row r="874" spans="1:15" ht="15">
      <c r="A874" s="66" t="s">
        <v>208</v>
      </c>
      <c r="B874" s="66" t="s">
        <v>789</v>
      </c>
      <c r="C874" s="67"/>
      <c r="D874" s="68"/>
      <c r="E874" s="69"/>
      <c r="F874" s="70"/>
      <c r="G874" s="67"/>
      <c r="H874" s="71"/>
      <c r="I874" s="72"/>
      <c r="J874" s="72"/>
      <c r="K874" s="36"/>
      <c r="L874" s="79">
        <v>874</v>
      </c>
      <c r="M874" s="79"/>
      <c r="N874" s="74"/>
      <c r="O874" s="81" t="s">
        <v>1235</v>
      </c>
    </row>
    <row r="875" spans="1:15" ht="15">
      <c r="A875" s="66" t="s">
        <v>208</v>
      </c>
      <c r="B875" s="66" t="s">
        <v>790</v>
      </c>
      <c r="C875" s="67"/>
      <c r="D875" s="68"/>
      <c r="E875" s="69"/>
      <c r="F875" s="70"/>
      <c r="G875" s="67"/>
      <c r="H875" s="71"/>
      <c r="I875" s="72"/>
      <c r="J875" s="72"/>
      <c r="K875" s="36"/>
      <c r="L875" s="79">
        <v>875</v>
      </c>
      <c r="M875" s="79"/>
      <c r="N875" s="74"/>
      <c r="O875" s="81" t="s">
        <v>1235</v>
      </c>
    </row>
    <row r="876" spans="1:15" ht="15">
      <c r="A876" s="66" t="s">
        <v>208</v>
      </c>
      <c r="B876" s="66" t="s">
        <v>791</v>
      </c>
      <c r="C876" s="67"/>
      <c r="D876" s="68"/>
      <c r="E876" s="69"/>
      <c r="F876" s="70"/>
      <c r="G876" s="67"/>
      <c r="H876" s="71"/>
      <c r="I876" s="72"/>
      <c r="J876" s="72"/>
      <c r="K876" s="36"/>
      <c r="L876" s="79">
        <v>876</v>
      </c>
      <c r="M876" s="79"/>
      <c r="N876" s="74"/>
      <c r="O876" s="81" t="s">
        <v>1235</v>
      </c>
    </row>
    <row r="877" spans="1:15" ht="15">
      <c r="A877" s="66" t="s">
        <v>208</v>
      </c>
      <c r="B877" s="66" t="s">
        <v>792</v>
      </c>
      <c r="C877" s="67"/>
      <c r="D877" s="68"/>
      <c r="E877" s="69"/>
      <c r="F877" s="70"/>
      <c r="G877" s="67"/>
      <c r="H877" s="71"/>
      <c r="I877" s="72"/>
      <c r="J877" s="72"/>
      <c r="K877" s="36"/>
      <c r="L877" s="79">
        <v>877</v>
      </c>
      <c r="M877" s="79"/>
      <c r="N877" s="74"/>
      <c r="O877" s="81" t="s">
        <v>1235</v>
      </c>
    </row>
    <row r="878" spans="1:15" ht="15">
      <c r="A878" s="66" t="s">
        <v>208</v>
      </c>
      <c r="B878" s="66" t="s">
        <v>793</v>
      </c>
      <c r="C878" s="67"/>
      <c r="D878" s="68"/>
      <c r="E878" s="69"/>
      <c r="F878" s="70"/>
      <c r="G878" s="67"/>
      <c r="H878" s="71"/>
      <c r="I878" s="72"/>
      <c r="J878" s="72"/>
      <c r="K878" s="36"/>
      <c r="L878" s="79">
        <v>878</v>
      </c>
      <c r="M878" s="79"/>
      <c r="N878" s="74"/>
      <c r="O878" s="81" t="s">
        <v>1235</v>
      </c>
    </row>
    <row r="879" spans="1:15" ht="15">
      <c r="A879" s="66" t="s">
        <v>208</v>
      </c>
      <c r="B879" s="66" t="s">
        <v>794</v>
      </c>
      <c r="C879" s="67"/>
      <c r="D879" s="68"/>
      <c r="E879" s="69"/>
      <c r="F879" s="70"/>
      <c r="G879" s="67"/>
      <c r="H879" s="71"/>
      <c r="I879" s="72"/>
      <c r="J879" s="72"/>
      <c r="K879" s="36"/>
      <c r="L879" s="79">
        <v>879</v>
      </c>
      <c r="M879" s="79"/>
      <c r="N879" s="74"/>
      <c r="O879" s="81" t="s">
        <v>1235</v>
      </c>
    </row>
    <row r="880" spans="1:15" ht="15">
      <c r="A880" s="66" t="s">
        <v>208</v>
      </c>
      <c r="B880" s="66" t="s">
        <v>795</v>
      </c>
      <c r="C880" s="67"/>
      <c r="D880" s="68"/>
      <c r="E880" s="69"/>
      <c r="F880" s="70"/>
      <c r="G880" s="67"/>
      <c r="H880" s="71"/>
      <c r="I880" s="72"/>
      <c r="J880" s="72"/>
      <c r="K880" s="36"/>
      <c r="L880" s="79">
        <v>880</v>
      </c>
      <c r="M880" s="79"/>
      <c r="N880" s="74"/>
      <c r="O880" s="81" t="s">
        <v>1235</v>
      </c>
    </row>
    <row r="881" spans="1:15" ht="15">
      <c r="A881" s="66" t="s">
        <v>208</v>
      </c>
      <c r="B881" s="66" t="s">
        <v>796</v>
      </c>
      <c r="C881" s="67"/>
      <c r="D881" s="68"/>
      <c r="E881" s="69"/>
      <c r="F881" s="70"/>
      <c r="G881" s="67"/>
      <c r="H881" s="71"/>
      <c r="I881" s="72"/>
      <c r="J881" s="72"/>
      <c r="K881" s="36"/>
      <c r="L881" s="79">
        <v>881</v>
      </c>
      <c r="M881" s="79"/>
      <c r="N881" s="74"/>
      <c r="O881" s="81" t="s">
        <v>1235</v>
      </c>
    </row>
    <row r="882" spans="1:15" ht="15">
      <c r="A882" s="66" t="s">
        <v>208</v>
      </c>
      <c r="B882" s="66" t="s">
        <v>797</v>
      </c>
      <c r="C882" s="67"/>
      <c r="D882" s="68"/>
      <c r="E882" s="69"/>
      <c r="F882" s="70"/>
      <c r="G882" s="67"/>
      <c r="H882" s="71"/>
      <c r="I882" s="72"/>
      <c r="J882" s="72"/>
      <c r="K882" s="36"/>
      <c r="L882" s="79">
        <v>882</v>
      </c>
      <c r="M882" s="79"/>
      <c r="N882" s="74"/>
      <c r="O882" s="81" t="s">
        <v>1235</v>
      </c>
    </row>
    <row r="883" spans="1:15" ht="15">
      <c r="A883" s="66" t="s">
        <v>208</v>
      </c>
      <c r="B883" s="66" t="s">
        <v>798</v>
      </c>
      <c r="C883" s="67"/>
      <c r="D883" s="68"/>
      <c r="E883" s="69"/>
      <c r="F883" s="70"/>
      <c r="G883" s="67"/>
      <c r="H883" s="71"/>
      <c r="I883" s="72"/>
      <c r="J883" s="72"/>
      <c r="K883" s="36"/>
      <c r="L883" s="79">
        <v>883</v>
      </c>
      <c r="M883" s="79"/>
      <c r="N883" s="74"/>
      <c r="O883" s="81" t="s">
        <v>1235</v>
      </c>
    </row>
    <row r="884" spans="1:15" ht="15">
      <c r="A884" s="66" t="s">
        <v>208</v>
      </c>
      <c r="B884" s="66" t="s">
        <v>799</v>
      </c>
      <c r="C884" s="67"/>
      <c r="D884" s="68"/>
      <c r="E884" s="69"/>
      <c r="F884" s="70"/>
      <c r="G884" s="67"/>
      <c r="H884" s="71"/>
      <c r="I884" s="72"/>
      <c r="J884" s="72"/>
      <c r="K884" s="36"/>
      <c r="L884" s="79">
        <v>884</v>
      </c>
      <c r="M884" s="79"/>
      <c r="N884" s="74"/>
      <c r="O884" s="81" t="s">
        <v>1235</v>
      </c>
    </row>
    <row r="885" spans="1:15" ht="15">
      <c r="A885" s="66" t="s">
        <v>208</v>
      </c>
      <c r="B885" s="66" t="s">
        <v>800</v>
      </c>
      <c r="C885" s="67"/>
      <c r="D885" s="68"/>
      <c r="E885" s="69"/>
      <c r="F885" s="70"/>
      <c r="G885" s="67"/>
      <c r="H885" s="71"/>
      <c r="I885" s="72"/>
      <c r="J885" s="72"/>
      <c r="K885" s="36"/>
      <c r="L885" s="79">
        <v>885</v>
      </c>
      <c r="M885" s="79"/>
      <c r="N885" s="74"/>
      <c r="O885" s="81" t="s">
        <v>1235</v>
      </c>
    </row>
    <row r="886" spans="1:15" ht="15">
      <c r="A886" s="66" t="s">
        <v>208</v>
      </c>
      <c r="B886" s="66" t="s">
        <v>467</v>
      </c>
      <c r="C886" s="67"/>
      <c r="D886" s="68"/>
      <c r="E886" s="69"/>
      <c r="F886" s="70"/>
      <c r="G886" s="67"/>
      <c r="H886" s="71"/>
      <c r="I886" s="72"/>
      <c r="J886" s="72"/>
      <c r="K886" s="36"/>
      <c r="L886" s="79">
        <v>886</v>
      </c>
      <c r="M886" s="79"/>
      <c r="N886" s="74"/>
      <c r="O886" s="81" t="s">
        <v>1235</v>
      </c>
    </row>
    <row r="887" spans="1:15" ht="15">
      <c r="A887" s="66" t="s">
        <v>208</v>
      </c>
      <c r="B887" s="66" t="s">
        <v>801</v>
      </c>
      <c r="C887" s="67"/>
      <c r="D887" s="68"/>
      <c r="E887" s="69"/>
      <c r="F887" s="70"/>
      <c r="G887" s="67"/>
      <c r="H887" s="71"/>
      <c r="I887" s="72"/>
      <c r="J887" s="72"/>
      <c r="K887" s="36"/>
      <c r="L887" s="79">
        <v>887</v>
      </c>
      <c r="M887" s="79"/>
      <c r="N887" s="74"/>
      <c r="O887" s="81" t="s">
        <v>1235</v>
      </c>
    </row>
    <row r="888" spans="1:15" ht="15">
      <c r="A888" s="66" t="s">
        <v>208</v>
      </c>
      <c r="B888" s="66" t="s">
        <v>320</v>
      </c>
      <c r="C888" s="67"/>
      <c r="D888" s="68"/>
      <c r="E888" s="69"/>
      <c r="F888" s="70"/>
      <c r="G888" s="67"/>
      <c r="H888" s="71"/>
      <c r="I888" s="72"/>
      <c r="J888" s="72"/>
      <c r="K888" s="36"/>
      <c r="L888" s="79">
        <v>888</v>
      </c>
      <c r="M888" s="79"/>
      <c r="N888" s="74"/>
      <c r="O888" s="81" t="s">
        <v>1235</v>
      </c>
    </row>
    <row r="889" spans="1:15" ht="15">
      <c r="A889" s="66" t="s">
        <v>208</v>
      </c>
      <c r="B889" s="66" t="s">
        <v>802</v>
      </c>
      <c r="C889" s="67"/>
      <c r="D889" s="68"/>
      <c r="E889" s="69"/>
      <c r="F889" s="70"/>
      <c r="G889" s="67"/>
      <c r="H889" s="71"/>
      <c r="I889" s="72"/>
      <c r="J889" s="72"/>
      <c r="K889" s="36"/>
      <c r="L889" s="79">
        <v>889</v>
      </c>
      <c r="M889" s="79"/>
      <c r="N889" s="74"/>
      <c r="O889" s="81" t="s">
        <v>1235</v>
      </c>
    </row>
    <row r="890" spans="1:15" ht="15">
      <c r="A890" s="66" t="s">
        <v>208</v>
      </c>
      <c r="B890" s="66" t="s">
        <v>803</v>
      </c>
      <c r="C890" s="67"/>
      <c r="D890" s="68"/>
      <c r="E890" s="69"/>
      <c r="F890" s="70"/>
      <c r="G890" s="67"/>
      <c r="H890" s="71"/>
      <c r="I890" s="72"/>
      <c r="J890" s="72"/>
      <c r="K890" s="36"/>
      <c r="L890" s="79">
        <v>890</v>
      </c>
      <c r="M890" s="79"/>
      <c r="N890" s="74"/>
      <c r="O890" s="81" t="s">
        <v>1235</v>
      </c>
    </row>
    <row r="891" spans="1:15" ht="15">
      <c r="A891" s="66" t="s">
        <v>208</v>
      </c>
      <c r="B891" s="66" t="s">
        <v>804</v>
      </c>
      <c r="C891" s="67"/>
      <c r="D891" s="68"/>
      <c r="E891" s="69"/>
      <c r="F891" s="70"/>
      <c r="G891" s="67"/>
      <c r="H891" s="71"/>
      <c r="I891" s="72"/>
      <c r="J891" s="72"/>
      <c r="K891" s="36"/>
      <c r="L891" s="79">
        <v>891</v>
      </c>
      <c r="M891" s="79"/>
      <c r="N891" s="74"/>
      <c r="O891" s="81" t="s">
        <v>1235</v>
      </c>
    </row>
    <row r="892" spans="1:15" ht="15">
      <c r="A892" s="66" t="s">
        <v>208</v>
      </c>
      <c r="B892" s="66" t="s">
        <v>805</v>
      </c>
      <c r="C892" s="67"/>
      <c r="D892" s="68"/>
      <c r="E892" s="69"/>
      <c r="F892" s="70"/>
      <c r="G892" s="67"/>
      <c r="H892" s="71"/>
      <c r="I892" s="72"/>
      <c r="J892" s="72"/>
      <c r="K892" s="36"/>
      <c r="L892" s="79">
        <v>892</v>
      </c>
      <c r="M892" s="79"/>
      <c r="N892" s="74"/>
      <c r="O892" s="81" t="s">
        <v>1235</v>
      </c>
    </row>
    <row r="893" spans="1:15" ht="15">
      <c r="A893" s="66" t="s">
        <v>208</v>
      </c>
      <c r="B893" s="66" t="s">
        <v>469</v>
      </c>
      <c r="C893" s="67"/>
      <c r="D893" s="68"/>
      <c r="E893" s="69"/>
      <c r="F893" s="70"/>
      <c r="G893" s="67"/>
      <c r="H893" s="71"/>
      <c r="I893" s="72"/>
      <c r="J893" s="72"/>
      <c r="K893" s="36"/>
      <c r="L893" s="79">
        <v>893</v>
      </c>
      <c r="M893" s="79"/>
      <c r="N893" s="74"/>
      <c r="O893" s="81" t="s">
        <v>1235</v>
      </c>
    </row>
    <row r="894" spans="1:15" ht="15">
      <c r="A894" s="66" t="s">
        <v>208</v>
      </c>
      <c r="B894" s="66" t="s">
        <v>806</v>
      </c>
      <c r="C894" s="67"/>
      <c r="D894" s="68"/>
      <c r="E894" s="69"/>
      <c r="F894" s="70"/>
      <c r="G894" s="67"/>
      <c r="H894" s="71"/>
      <c r="I894" s="72"/>
      <c r="J894" s="72"/>
      <c r="K894" s="36"/>
      <c r="L894" s="79">
        <v>894</v>
      </c>
      <c r="M894" s="79"/>
      <c r="N894" s="74"/>
      <c r="O894" s="81" t="s">
        <v>1235</v>
      </c>
    </row>
    <row r="895" spans="1:15" ht="15">
      <c r="A895" s="66" t="s">
        <v>208</v>
      </c>
      <c r="B895" s="66" t="s">
        <v>807</v>
      </c>
      <c r="C895" s="67"/>
      <c r="D895" s="68"/>
      <c r="E895" s="69"/>
      <c r="F895" s="70"/>
      <c r="G895" s="67"/>
      <c r="H895" s="71"/>
      <c r="I895" s="72"/>
      <c r="J895" s="72"/>
      <c r="K895" s="36"/>
      <c r="L895" s="79">
        <v>895</v>
      </c>
      <c r="M895" s="79"/>
      <c r="N895" s="74"/>
      <c r="O895" s="81" t="s">
        <v>1235</v>
      </c>
    </row>
    <row r="896" spans="1:15" ht="15">
      <c r="A896" s="66" t="s">
        <v>208</v>
      </c>
      <c r="B896" s="66" t="s">
        <v>602</v>
      </c>
      <c r="C896" s="67"/>
      <c r="D896" s="68"/>
      <c r="E896" s="69"/>
      <c r="F896" s="70"/>
      <c r="G896" s="67"/>
      <c r="H896" s="71"/>
      <c r="I896" s="72"/>
      <c r="J896" s="72"/>
      <c r="K896" s="36"/>
      <c r="L896" s="79">
        <v>896</v>
      </c>
      <c r="M896" s="79"/>
      <c r="N896" s="74"/>
      <c r="O896" s="81" t="s">
        <v>1235</v>
      </c>
    </row>
    <row r="897" spans="1:15" ht="15">
      <c r="A897" s="66" t="s">
        <v>208</v>
      </c>
      <c r="B897" s="66" t="s">
        <v>216</v>
      </c>
      <c r="C897" s="67"/>
      <c r="D897" s="68"/>
      <c r="E897" s="69"/>
      <c r="F897" s="70"/>
      <c r="G897" s="67"/>
      <c r="H897" s="71"/>
      <c r="I897" s="72"/>
      <c r="J897" s="72"/>
      <c r="K897" s="36"/>
      <c r="L897" s="79">
        <v>897</v>
      </c>
      <c r="M897" s="79"/>
      <c r="N897" s="74"/>
      <c r="O897" s="81" t="s">
        <v>1235</v>
      </c>
    </row>
    <row r="898" spans="1:15" ht="15">
      <c r="A898" s="66" t="s">
        <v>208</v>
      </c>
      <c r="B898" s="66" t="s">
        <v>225</v>
      </c>
      <c r="C898" s="67"/>
      <c r="D898" s="68"/>
      <c r="E898" s="69"/>
      <c r="F898" s="70"/>
      <c r="G898" s="67"/>
      <c r="H898" s="71"/>
      <c r="I898" s="72"/>
      <c r="J898" s="72"/>
      <c r="K898" s="36"/>
      <c r="L898" s="79">
        <v>898</v>
      </c>
      <c r="M898" s="79"/>
      <c r="N898" s="74"/>
      <c r="O898" s="81" t="s">
        <v>1235</v>
      </c>
    </row>
    <row r="899" spans="1:15" ht="15">
      <c r="A899" s="66" t="s">
        <v>208</v>
      </c>
      <c r="B899" s="66" t="s">
        <v>343</v>
      </c>
      <c r="C899" s="67"/>
      <c r="D899" s="68"/>
      <c r="E899" s="69"/>
      <c r="F899" s="70"/>
      <c r="G899" s="67"/>
      <c r="H899" s="71"/>
      <c r="I899" s="72"/>
      <c r="J899" s="72"/>
      <c r="K899" s="36"/>
      <c r="L899" s="79">
        <v>899</v>
      </c>
      <c r="M899" s="79"/>
      <c r="N899" s="74"/>
      <c r="O899" s="81" t="s">
        <v>1235</v>
      </c>
    </row>
    <row r="900" spans="1:15" ht="15">
      <c r="A900" s="66" t="s">
        <v>208</v>
      </c>
      <c r="B900" s="66" t="s">
        <v>223</v>
      </c>
      <c r="C900" s="67"/>
      <c r="D900" s="68"/>
      <c r="E900" s="69"/>
      <c r="F900" s="70"/>
      <c r="G900" s="67"/>
      <c r="H900" s="71"/>
      <c r="I900" s="72"/>
      <c r="J900" s="72"/>
      <c r="K900" s="36"/>
      <c r="L900" s="79">
        <v>900</v>
      </c>
      <c r="M900" s="79"/>
      <c r="N900" s="74"/>
      <c r="O900" s="81" t="s">
        <v>1235</v>
      </c>
    </row>
    <row r="901" spans="1:15" ht="15">
      <c r="A901" s="66" t="s">
        <v>208</v>
      </c>
      <c r="B901" s="66" t="s">
        <v>284</v>
      </c>
      <c r="C901" s="67"/>
      <c r="D901" s="68"/>
      <c r="E901" s="69"/>
      <c r="F901" s="70"/>
      <c r="G901" s="67"/>
      <c r="H901" s="71"/>
      <c r="I901" s="72"/>
      <c r="J901" s="72"/>
      <c r="K901" s="36"/>
      <c r="L901" s="79">
        <v>901</v>
      </c>
      <c r="M901" s="79"/>
      <c r="N901" s="74"/>
      <c r="O901" s="81" t="s">
        <v>1235</v>
      </c>
    </row>
    <row r="902" spans="1:15" ht="15">
      <c r="A902" s="66" t="s">
        <v>208</v>
      </c>
      <c r="B902" s="66" t="s">
        <v>295</v>
      </c>
      <c r="C902" s="67"/>
      <c r="D902" s="68"/>
      <c r="E902" s="69"/>
      <c r="F902" s="70"/>
      <c r="G902" s="67"/>
      <c r="H902" s="71"/>
      <c r="I902" s="72"/>
      <c r="J902" s="72"/>
      <c r="K902" s="36"/>
      <c r="L902" s="79">
        <v>902</v>
      </c>
      <c r="M902" s="79"/>
      <c r="N902" s="74"/>
      <c r="O902" s="81" t="s">
        <v>1235</v>
      </c>
    </row>
    <row r="903" spans="1:15" ht="15">
      <c r="A903" s="66" t="s">
        <v>208</v>
      </c>
      <c r="B903" s="66" t="s">
        <v>227</v>
      </c>
      <c r="C903" s="67"/>
      <c r="D903" s="68"/>
      <c r="E903" s="69"/>
      <c r="F903" s="70"/>
      <c r="G903" s="67"/>
      <c r="H903" s="71"/>
      <c r="I903" s="72"/>
      <c r="J903" s="72"/>
      <c r="K903" s="36"/>
      <c r="L903" s="79">
        <v>903</v>
      </c>
      <c r="M903" s="79"/>
      <c r="N903" s="74"/>
      <c r="O903" s="81" t="s">
        <v>1235</v>
      </c>
    </row>
    <row r="904" spans="1:15" ht="15">
      <c r="A904" s="66" t="s">
        <v>208</v>
      </c>
      <c r="B904" s="66" t="s">
        <v>529</v>
      </c>
      <c r="C904" s="67"/>
      <c r="D904" s="68"/>
      <c r="E904" s="69"/>
      <c r="F904" s="70"/>
      <c r="G904" s="67"/>
      <c r="H904" s="71"/>
      <c r="I904" s="72"/>
      <c r="J904" s="72"/>
      <c r="K904" s="36"/>
      <c r="L904" s="79">
        <v>904</v>
      </c>
      <c r="M904" s="79"/>
      <c r="N904" s="74"/>
      <c r="O904" s="81" t="s">
        <v>1235</v>
      </c>
    </row>
    <row r="905" spans="1:15" ht="15">
      <c r="A905" s="66" t="s">
        <v>208</v>
      </c>
      <c r="B905" s="66" t="s">
        <v>287</v>
      </c>
      <c r="C905" s="67"/>
      <c r="D905" s="68"/>
      <c r="E905" s="69"/>
      <c r="F905" s="70"/>
      <c r="G905" s="67"/>
      <c r="H905" s="71"/>
      <c r="I905" s="72"/>
      <c r="J905" s="72"/>
      <c r="K905" s="36"/>
      <c r="L905" s="79">
        <v>905</v>
      </c>
      <c r="M905" s="79"/>
      <c r="N905" s="74"/>
      <c r="O905" s="81" t="s">
        <v>1235</v>
      </c>
    </row>
    <row r="906" spans="1:15" ht="15">
      <c r="A906" s="66" t="s">
        <v>208</v>
      </c>
      <c r="B906" s="66" t="s">
        <v>808</v>
      </c>
      <c r="C906" s="67"/>
      <c r="D906" s="68"/>
      <c r="E906" s="69"/>
      <c r="F906" s="70"/>
      <c r="G906" s="67"/>
      <c r="H906" s="71"/>
      <c r="I906" s="72"/>
      <c r="J906" s="72"/>
      <c r="K906" s="36"/>
      <c r="L906" s="79">
        <v>906</v>
      </c>
      <c r="M906" s="79"/>
      <c r="N906" s="74"/>
      <c r="O906" s="81" t="s">
        <v>1235</v>
      </c>
    </row>
    <row r="907" spans="1:15" ht="15">
      <c r="A907" s="66" t="s">
        <v>208</v>
      </c>
      <c r="B907" s="66" t="s">
        <v>605</v>
      </c>
      <c r="C907" s="67"/>
      <c r="D907" s="68"/>
      <c r="E907" s="69"/>
      <c r="F907" s="70"/>
      <c r="G907" s="67"/>
      <c r="H907" s="71"/>
      <c r="I907" s="72"/>
      <c r="J907" s="72"/>
      <c r="K907" s="36"/>
      <c r="L907" s="79">
        <v>907</v>
      </c>
      <c r="M907" s="79"/>
      <c r="N907" s="74"/>
      <c r="O907" s="81" t="s">
        <v>1235</v>
      </c>
    </row>
    <row r="908" spans="1:15" ht="15">
      <c r="A908" s="66" t="s">
        <v>208</v>
      </c>
      <c r="B908" s="66" t="s">
        <v>349</v>
      </c>
      <c r="C908" s="67"/>
      <c r="D908" s="68"/>
      <c r="E908" s="69"/>
      <c r="F908" s="70"/>
      <c r="G908" s="67"/>
      <c r="H908" s="71"/>
      <c r="I908" s="72"/>
      <c r="J908" s="72"/>
      <c r="K908" s="36"/>
      <c r="L908" s="79">
        <v>908</v>
      </c>
      <c r="M908" s="79"/>
      <c r="N908" s="74"/>
      <c r="O908" s="81" t="s">
        <v>1235</v>
      </c>
    </row>
    <row r="909" spans="1:15" ht="15">
      <c r="A909" s="66" t="s">
        <v>208</v>
      </c>
      <c r="B909" s="66" t="s">
        <v>224</v>
      </c>
      <c r="C909" s="67"/>
      <c r="D909" s="68"/>
      <c r="E909" s="69"/>
      <c r="F909" s="70"/>
      <c r="G909" s="67"/>
      <c r="H909" s="71"/>
      <c r="I909" s="72"/>
      <c r="J909" s="72"/>
      <c r="K909" s="36"/>
      <c r="L909" s="79">
        <v>909</v>
      </c>
      <c r="M909" s="79"/>
      <c r="N909" s="74"/>
      <c r="O909" s="81" t="s">
        <v>1235</v>
      </c>
    </row>
    <row r="910" spans="1:15" ht="15">
      <c r="A910" s="66" t="s">
        <v>209</v>
      </c>
      <c r="B910" s="66" t="s">
        <v>809</v>
      </c>
      <c r="C910" s="67"/>
      <c r="D910" s="68"/>
      <c r="E910" s="69"/>
      <c r="F910" s="70"/>
      <c r="G910" s="67"/>
      <c r="H910" s="71"/>
      <c r="I910" s="72"/>
      <c r="J910" s="72"/>
      <c r="K910" s="36"/>
      <c r="L910" s="79">
        <v>910</v>
      </c>
      <c r="M910" s="79"/>
      <c r="N910" s="74"/>
      <c r="O910" s="81" t="s">
        <v>1235</v>
      </c>
    </row>
    <row r="911" spans="1:15" ht="15">
      <c r="A911" s="66" t="s">
        <v>209</v>
      </c>
      <c r="B911" s="66" t="s">
        <v>810</v>
      </c>
      <c r="C911" s="67"/>
      <c r="D911" s="68"/>
      <c r="E911" s="69"/>
      <c r="F911" s="70"/>
      <c r="G911" s="67"/>
      <c r="H911" s="71"/>
      <c r="I911" s="72"/>
      <c r="J911" s="72"/>
      <c r="K911" s="36"/>
      <c r="L911" s="79">
        <v>911</v>
      </c>
      <c r="M911" s="79"/>
      <c r="N911" s="74"/>
      <c r="O911" s="81" t="s">
        <v>1235</v>
      </c>
    </row>
    <row r="912" spans="1:15" ht="15">
      <c r="A912" s="66" t="s">
        <v>209</v>
      </c>
      <c r="B912" s="66" t="s">
        <v>811</v>
      </c>
      <c r="C912" s="67"/>
      <c r="D912" s="68"/>
      <c r="E912" s="69"/>
      <c r="F912" s="70"/>
      <c r="G912" s="67"/>
      <c r="H912" s="71"/>
      <c r="I912" s="72"/>
      <c r="J912" s="72"/>
      <c r="K912" s="36"/>
      <c r="L912" s="79">
        <v>912</v>
      </c>
      <c r="M912" s="79"/>
      <c r="N912" s="74"/>
      <c r="O912" s="81" t="s">
        <v>1235</v>
      </c>
    </row>
    <row r="913" spans="1:15" ht="15">
      <c r="A913" s="66" t="s">
        <v>209</v>
      </c>
      <c r="B913" s="66" t="s">
        <v>812</v>
      </c>
      <c r="C913" s="67"/>
      <c r="D913" s="68"/>
      <c r="E913" s="69"/>
      <c r="F913" s="70"/>
      <c r="G913" s="67"/>
      <c r="H913" s="71"/>
      <c r="I913" s="72"/>
      <c r="J913" s="72"/>
      <c r="K913" s="36"/>
      <c r="L913" s="79">
        <v>913</v>
      </c>
      <c r="M913" s="79"/>
      <c r="N913" s="74"/>
      <c r="O913" s="81" t="s">
        <v>1235</v>
      </c>
    </row>
    <row r="914" spans="1:15" ht="15">
      <c r="A914" s="66" t="s">
        <v>209</v>
      </c>
      <c r="B914" s="66" t="s">
        <v>350</v>
      </c>
      <c r="C914" s="67"/>
      <c r="D914" s="68"/>
      <c r="E914" s="69"/>
      <c r="F914" s="70"/>
      <c r="G914" s="67"/>
      <c r="H914" s="71"/>
      <c r="I914" s="72"/>
      <c r="J914" s="72"/>
      <c r="K914" s="36"/>
      <c r="L914" s="79">
        <v>914</v>
      </c>
      <c r="M914" s="79"/>
      <c r="N914" s="74"/>
      <c r="O914" s="81" t="s">
        <v>1235</v>
      </c>
    </row>
    <row r="915" spans="1:15" ht="15">
      <c r="A915" s="66" t="s">
        <v>209</v>
      </c>
      <c r="B915" s="66" t="s">
        <v>473</v>
      </c>
      <c r="C915" s="67"/>
      <c r="D915" s="68"/>
      <c r="E915" s="69"/>
      <c r="F915" s="70"/>
      <c r="G915" s="67"/>
      <c r="H915" s="71"/>
      <c r="I915" s="72"/>
      <c r="J915" s="72"/>
      <c r="K915" s="36"/>
      <c r="L915" s="79">
        <v>915</v>
      </c>
      <c r="M915" s="79"/>
      <c r="N915" s="74"/>
      <c r="O915" s="81" t="s">
        <v>1235</v>
      </c>
    </row>
    <row r="916" spans="1:15" ht="15">
      <c r="A916" s="66" t="s">
        <v>209</v>
      </c>
      <c r="B916" s="66" t="s">
        <v>813</v>
      </c>
      <c r="C916" s="67"/>
      <c r="D916" s="68"/>
      <c r="E916" s="69"/>
      <c r="F916" s="70"/>
      <c r="G916" s="67"/>
      <c r="H916" s="71"/>
      <c r="I916" s="72"/>
      <c r="J916" s="72"/>
      <c r="K916" s="36"/>
      <c r="L916" s="79">
        <v>916</v>
      </c>
      <c r="M916" s="79"/>
      <c r="N916" s="74"/>
      <c r="O916" s="81" t="s">
        <v>1235</v>
      </c>
    </row>
    <row r="917" spans="1:15" ht="15">
      <c r="A917" s="66" t="s">
        <v>209</v>
      </c>
      <c r="B917" s="66" t="s">
        <v>814</v>
      </c>
      <c r="C917" s="67"/>
      <c r="D917" s="68"/>
      <c r="E917" s="69"/>
      <c r="F917" s="70"/>
      <c r="G917" s="67"/>
      <c r="H917" s="71"/>
      <c r="I917" s="72"/>
      <c r="J917" s="72"/>
      <c r="K917" s="36"/>
      <c r="L917" s="79">
        <v>917</v>
      </c>
      <c r="M917" s="79"/>
      <c r="N917" s="74"/>
      <c r="O917" s="81" t="s">
        <v>1235</v>
      </c>
    </row>
    <row r="918" spans="1:15" ht="15">
      <c r="A918" s="66" t="s">
        <v>209</v>
      </c>
      <c r="B918" s="66" t="s">
        <v>815</v>
      </c>
      <c r="C918" s="67"/>
      <c r="D918" s="68"/>
      <c r="E918" s="69"/>
      <c r="F918" s="70"/>
      <c r="G918" s="67"/>
      <c r="H918" s="71"/>
      <c r="I918" s="72"/>
      <c r="J918" s="72"/>
      <c r="K918" s="36"/>
      <c r="L918" s="79">
        <v>918</v>
      </c>
      <c r="M918" s="79"/>
      <c r="N918" s="74"/>
      <c r="O918" s="81" t="s">
        <v>1235</v>
      </c>
    </row>
    <row r="919" spans="1:15" ht="15">
      <c r="A919" s="66" t="s">
        <v>209</v>
      </c>
      <c r="B919" s="66" t="s">
        <v>816</v>
      </c>
      <c r="C919" s="67"/>
      <c r="D919" s="68"/>
      <c r="E919" s="69"/>
      <c r="F919" s="70"/>
      <c r="G919" s="67"/>
      <c r="H919" s="71"/>
      <c r="I919" s="72"/>
      <c r="J919" s="72"/>
      <c r="K919" s="36"/>
      <c r="L919" s="79">
        <v>919</v>
      </c>
      <c r="M919" s="79"/>
      <c r="N919" s="74"/>
      <c r="O919" s="81" t="s">
        <v>1235</v>
      </c>
    </row>
    <row r="920" spans="1:15" ht="15">
      <c r="A920" s="66" t="s">
        <v>209</v>
      </c>
      <c r="B920" s="66" t="s">
        <v>817</v>
      </c>
      <c r="C920" s="67"/>
      <c r="D920" s="68"/>
      <c r="E920" s="69"/>
      <c r="F920" s="70"/>
      <c r="G920" s="67"/>
      <c r="H920" s="71"/>
      <c r="I920" s="72"/>
      <c r="J920" s="72"/>
      <c r="K920" s="36"/>
      <c r="L920" s="79">
        <v>920</v>
      </c>
      <c r="M920" s="79"/>
      <c r="N920" s="74"/>
      <c r="O920" s="81" t="s">
        <v>1235</v>
      </c>
    </row>
    <row r="921" spans="1:15" ht="15">
      <c r="A921" s="66" t="s">
        <v>209</v>
      </c>
      <c r="B921" s="66" t="s">
        <v>818</v>
      </c>
      <c r="C921" s="67"/>
      <c r="D921" s="68"/>
      <c r="E921" s="69"/>
      <c r="F921" s="70"/>
      <c r="G921" s="67"/>
      <c r="H921" s="71"/>
      <c r="I921" s="72"/>
      <c r="J921" s="72"/>
      <c r="K921" s="36"/>
      <c r="L921" s="79">
        <v>921</v>
      </c>
      <c r="M921" s="79"/>
      <c r="N921" s="74"/>
      <c r="O921" s="81" t="s">
        <v>1235</v>
      </c>
    </row>
    <row r="922" spans="1:15" ht="15">
      <c r="A922" s="66" t="s">
        <v>209</v>
      </c>
      <c r="B922" s="66" t="s">
        <v>819</v>
      </c>
      <c r="C922" s="67"/>
      <c r="D922" s="68"/>
      <c r="E922" s="69"/>
      <c r="F922" s="70"/>
      <c r="G922" s="67"/>
      <c r="H922" s="71"/>
      <c r="I922" s="72"/>
      <c r="J922" s="72"/>
      <c r="K922" s="36"/>
      <c r="L922" s="79">
        <v>922</v>
      </c>
      <c r="M922" s="79"/>
      <c r="N922" s="74"/>
      <c r="O922" s="81" t="s">
        <v>1235</v>
      </c>
    </row>
    <row r="923" spans="1:15" ht="15">
      <c r="A923" s="66" t="s">
        <v>190</v>
      </c>
      <c r="B923" s="66" t="s">
        <v>820</v>
      </c>
      <c r="C923" s="67"/>
      <c r="D923" s="68"/>
      <c r="E923" s="69"/>
      <c r="F923" s="70"/>
      <c r="G923" s="67"/>
      <c r="H923" s="71"/>
      <c r="I923" s="72"/>
      <c r="J923" s="72"/>
      <c r="K923" s="36"/>
      <c r="L923" s="79">
        <v>923</v>
      </c>
      <c r="M923" s="79"/>
      <c r="N923" s="74"/>
      <c r="O923" s="81" t="s">
        <v>1235</v>
      </c>
    </row>
    <row r="924" spans="1:15" ht="15">
      <c r="A924" s="66" t="s">
        <v>209</v>
      </c>
      <c r="B924" s="66" t="s">
        <v>820</v>
      </c>
      <c r="C924" s="67"/>
      <c r="D924" s="68"/>
      <c r="E924" s="69"/>
      <c r="F924" s="70"/>
      <c r="G924" s="67"/>
      <c r="H924" s="71"/>
      <c r="I924" s="72"/>
      <c r="J924" s="72"/>
      <c r="K924" s="36"/>
      <c r="L924" s="79">
        <v>924</v>
      </c>
      <c r="M924" s="79"/>
      <c r="N924" s="74"/>
      <c r="O924" s="81" t="s">
        <v>1235</v>
      </c>
    </row>
    <row r="925" spans="1:15" ht="15">
      <c r="A925" s="66" t="s">
        <v>209</v>
      </c>
      <c r="B925" s="66" t="s">
        <v>821</v>
      </c>
      <c r="C925" s="67"/>
      <c r="D925" s="68"/>
      <c r="E925" s="69"/>
      <c r="F925" s="70"/>
      <c r="G925" s="67"/>
      <c r="H925" s="71"/>
      <c r="I925" s="72"/>
      <c r="J925" s="72"/>
      <c r="K925" s="36"/>
      <c r="L925" s="79">
        <v>925</v>
      </c>
      <c r="M925" s="79"/>
      <c r="N925" s="74"/>
      <c r="O925" s="81" t="s">
        <v>1235</v>
      </c>
    </row>
    <row r="926" spans="1:15" ht="15">
      <c r="A926" s="66" t="s">
        <v>209</v>
      </c>
      <c r="B926" s="66" t="s">
        <v>822</v>
      </c>
      <c r="C926" s="67"/>
      <c r="D926" s="68"/>
      <c r="E926" s="69"/>
      <c r="F926" s="70"/>
      <c r="G926" s="67"/>
      <c r="H926" s="71"/>
      <c r="I926" s="72"/>
      <c r="J926" s="72"/>
      <c r="K926" s="36"/>
      <c r="L926" s="79">
        <v>926</v>
      </c>
      <c r="M926" s="79"/>
      <c r="N926" s="74"/>
      <c r="O926" s="81" t="s">
        <v>1235</v>
      </c>
    </row>
    <row r="927" spans="1:15" ht="15">
      <c r="A927" s="66" t="s">
        <v>209</v>
      </c>
      <c r="B927" s="66" t="s">
        <v>823</v>
      </c>
      <c r="C927" s="67"/>
      <c r="D927" s="68"/>
      <c r="E927" s="69"/>
      <c r="F927" s="70"/>
      <c r="G927" s="67"/>
      <c r="H927" s="71"/>
      <c r="I927" s="72"/>
      <c r="J927" s="72"/>
      <c r="K927" s="36"/>
      <c r="L927" s="79">
        <v>927</v>
      </c>
      <c r="M927" s="79"/>
      <c r="N927" s="74"/>
      <c r="O927" s="81" t="s">
        <v>1235</v>
      </c>
    </row>
    <row r="928" spans="1:15" ht="15">
      <c r="A928" s="66" t="s">
        <v>209</v>
      </c>
      <c r="B928" s="66" t="s">
        <v>824</v>
      </c>
      <c r="C928" s="67"/>
      <c r="D928" s="68"/>
      <c r="E928" s="69"/>
      <c r="F928" s="70"/>
      <c r="G928" s="67"/>
      <c r="H928" s="71"/>
      <c r="I928" s="72"/>
      <c r="J928" s="72"/>
      <c r="K928" s="36"/>
      <c r="L928" s="79">
        <v>928</v>
      </c>
      <c r="M928" s="79"/>
      <c r="N928" s="74"/>
      <c r="O928" s="81" t="s">
        <v>1235</v>
      </c>
    </row>
    <row r="929" spans="1:15" ht="15">
      <c r="A929" s="66" t="s">
        <v>209</v>
      </c>
      <c r="B929" s="66" t="s">
        <v>825</v>
      </c>
      <c r="C929" s="67"/>
      <c r="D929" s="68"/>
      <c r="E929" s="69"/>
      <c r="F929" s="70"/>
      <c r="G929" s="67"/>
      <c r="H929" s="71"/>
      <c r="I929" s="72"/>
      <c r="J929" s="72"/>
      <c r="K929" s="36"/>
      <c r="L929" s="79">
        <v>929</v>
      </c>
      <c r="M929" s="79"/>
      <c r="N929" s="74"/>
      <c r="O929" s="81" t="s">
        <v>1235</v>
      </c>
    </row>
    <row r="930" spans="1:15" ht="15">
      <c r="A930" s="66" t="s">
        <v>209</v>
      </c>
      <c r="B930" s="66" t="s">
        <v>826</v>
      </c>
      <c r="C930" s="67"/>
      <c r="D930" s="68"/>
      <c r="E930" s="69"/>
      <c r="F930" s="70"/>
      <c r="G930" s="67"/>
      <c r="H930" s="71"/>
      <c r="I930" s="72"/>
      <c r="J930" s="72"/>
      <c r="K930" s="36"/>
      <c r="L930" s="79">
        <v>930</v>
      </c>
      <c r="M930" s="79"/>
      <c r="N930" s="74"/>
      <c r="O930" s="81" t="s">
        <v>1235</v>
      </c>
    </row>
    <row r="931" spans="1:15" ht="15">
      <c r="A931" s="66" t="s">
        <v>209</v>
      </c>
      <c r="B931" s="66" t="s">
        <v>827</v>
      </c>
      <c r="C931" s="67"/>
      <c r="D931" s="68"/>
      <c r="E931" s="69"/>
      <c r="F931" s="70"/>
      <c r="G931" s="67"/>
      <c r="H931" s="71"/>
      <c r="I931" s="72"/>
      <c r="J931" s="72"/>
      <c r="K931" s="36"/>
      <c r="L931" s="79">
        <v>931</v>
      </c>
      <c r="M931" s="79"/>
      <c r="N931" s="74"/>
      <c r="O931" s="81" t="s">
        <v>1235</v>
      </c>
    </row>
    <row r="932" spans="1:15" ht="15">
      <c r="A932" s="66" t="s">
        <v>209</v>
      </c>
      <c r="B932" s="66" t="s">
        <v>828</v>
      </c>
      <c r="C932" s="67"/>
      <c r="D932" s="68"/>
      <c r="E932" s="69"/>
      <c r="F932" s="70"/>
      <c r="G932" s="67"/>
      <c r="H932" s="71"/>
      <c r="I932" s="72"/>
      <c r="J932" s="72"/>
      <c r="K932" s="36"/>
      <c r="L932" s="79">
        <v>932</v>
      </c>
      <c r="M932" s="79"/>
      <c r="N932" s="74"/>
      <c r="O932" s="81" t="s">
        <v>1235</v>
      </c>
    </row>
    <row r="933" spans="1:15" ht="15">
      <c r="A933" s="66" t="s">
        <v>209</v>
      </c>
      <c r="B933" s="66" t="s">
        <v>829</v>
      </c>
      <c r="C933" s="67"/>
      <c r="D933" s="68"/>
      <c r="E933" s="69"/>
      <c r="F933" s="70"/>
      <c r="G933" s="67"/>
      <c r="H933" s="71"/>
      <c r="I933" s="72"/>
      <c r="J933" s="72"/>
      <c r="K933" s="36"/>
      <c r="L933" s="79">
        <v>933</v>
      </c>
      <c r="M933" s="79"/>
      <c r="N933" s="74"/>
      <c r="O933" s="81" t="s">
        <v>1235</v>
      </c>
    </row>
    <row r="934" spans="1:15" ht="15">
      <c r="A934" s="66" t="s">
        <v>209</v>
      </c>
      <c r="B934" s="66" t="s">
        <v>830</v>
      </c>
      <c r="C934" s="67"/>
      <c r="D934" s="68"/>
      <c r="E934" s="69"/>
      <c r="F934" s="70"/>
      <c r="G934" s="67"/>
      <c r="H934" s="71"/>
      <c r="I934" s="72"/>
      <c r="J934" s="72"/>
      <c r="K934" s="36"/>
      <c r="L934" s="79">
        <v>934</v>
      </c>
      <c r="M934" s="79"/>
      <c r="N934" s="74"/>
      <c r="O934" s="81" t="s">
        <v>1235</v>
      </c>
    </row>
    <row r="935" spans="1:15" ht="15">
      <c r="A935" s="66" t="s">
        <v>209</v>
      </c>
      <c r="B935" s="66" t="s">
        <v>831</v>
      </c>
      <c r="C935" s="67"/>
      <c r="D935" s="68"/>
      <c r="E935" s="69"/>
      <c r="F935" s="70"/>
      <c r="G935" s="67"/>
      <c r="H935" s="71"/>
      <c r="I935" s="72"/>
      <c r="J935" s="72"/>
      <c r="K935" s="36"/>
      <c r="L935" s="79">
        <v>935</v>
      </c>
      <c r="M935" s="79"/>
      <c r="N935" s="74"/>
      <c r="O935" s="81" t="s">
        <v>1235</v>
      </c>
    </row>
    <row r="936" spans="1:15" ht="15">
      <c r="A936" s="66" t="s">
        <v>209</v>
      </c>
      <c r="B936" s="66" t="s">
        <v>832</v>
      </c>
      <c r="C936" s="67"/>
      <c r="D936" s="68"/>
      <c r="E936" s="69"/>
      <c r="F936" s="70"/>
      <c r="G936" s="67"/>
      <c r="H936" s="71"/>
      <c r="I936" s="72"/>
      <c r="J936" s="72"/>
      <c r="K936" s="36"/>
      <c r="L936" s="79">
        <v>936</v>
      </c>
      <c r="M936" s="79"/>
      <c r="N936" s="74"/>
      <c r="O936" s="81" t="s">
        <v>1235</v>
      </c>
    </row>
    <row r="937" spans="1:15" ht="15">
      <c r="A937" s="66" t="s">
        <v>209</v>
      </c>
      <c r="B937" s="66" t="s">
        <v>833</v>
      </c>
      <c r="C937" s="67"/>
      <c r="D937" s="68"/>
      <c r="E937" s="69"/>
      <c r="F937" s="70"/>
      <c r="G937" s="67"/>
      <c r="H937" s="71"/>
      <c r="I937" s="72"/>
      <c r="J937" s="72"/>
      <c r="K937" s="36"/>
      <c r="L937" s="79">
        <v>937</v>
      </c>
      <c r="M937" s="79"/>
      <c r="N937" s="74"/>
      <c r="O937" s="81" t="s">
        <v>1235</v>
      </c>
    </row>
    <row r="938" spans="1:15" ht="15">
      <c r="A938" s="66" t="s">
        <v>209</v>
      </c>
      <c r="B938" s="66" t="s">
        <v>834</v>
      </c>
      <c r="C938" s="67"/>
      <c r="D938" s="68"/>
      <c r="E938" s="69"/>
      <c r="F938" s="70"/>
      <c r="G938" s="67"/>
      <c r="H938" s="71"/>
      <c r="I938" s="72"/>
      <c r="J938" s="72"/>
      <c r="K938" s="36"/>
      <c r="L938" s="79">
        <v>938</v>
      </c>
      <c r="M938" s="79"/>
      <c r="N938" s="74"/>
      <c r="O938" s="81" t="s">
        <v>1235</v>
      </c>
    </row>
    <row r="939" spans="1:15" ht="15">
      <c r="A939" s="66" t="s">
        <v>209</v>
      </c>
      <c r="B939" s="66" t="s">
        <v>835</v>
      </c>
      <c r="C939" s="67"/>
      <c r="D939" s="68"/>
      <c r="E939" s="69"/>
      <c r="F939" s="70"/>
      <c r="G939" s="67"/>
      <c r="H939" s="71"/>
      <c r="I939" s="72"/>
      <c r="J939" s="72"/>
      <c r="K939" s="36"/>
      <c r="L939" s="79">
        <v>939</v>
      </c>
      <c r="M939" s="79"/>
      <c r="N939" s="74"/>
      <c r="O939" s="81" t="s">
        <v>1235</v>
      </c>
    </row>
    <row r="940" spans="1:15" ht="15">
      <c r="A940" s="66" t="s">
        <v>209</v>
      </c>
      <c r="B940" s="66" t="s">
        <v>836</v>
      </c>
      <c r="C940" s="67"/>
      <c r="D940" s="68"/>
      <c r="E940" s="69"/>
      <c r="F940" s="70"/>
      <c r="G940" s="67"/>
      <c r="H940" s="71"/>
      <c r="I940" s="72"/>
      <c r="J940" s="72"/>
      <c r="K940" s="36"/>
      <c r="L940" s="79">
        <v>940</v>
      </c>
      <c r="M940" s="79"/>
      <c r="N940" s="74"/>
      <c r="O940" s="81" t="s">
        <v>1235</v>
      </c>
    </row>
    <row r="941" spans="1:15" ht="15">
      <c r="A941" s="66" t="s">
        <v>190</v>
      </c>
      <c r="B941" s="66" t="s">
        <v>472</v>
      </c>
      <c r="C941" s="67"/>
      <c r="D941" s="68"/>
      <c r="E941" s="69"/>
      <c r="F941" s="70"/>
      <c r="G941" s="67"/>
      <c r="H941" s="71"/>
      <c r="I941" s="72"/>
      <c r="J941" s="72"/>
      <c r="K941" s="36"/>
      <c r="L941" s="79">
        <v>941</v>
      </c>
      <c r="M941" s="79"/>
      <c r="N941" s="74"/>
      <c r="O941" s="81" t="s">
        <v>1235</v>
      </c>
    </row>
    <row r="942" spans="1:15" ht="15">
      <c r="A942" s="66" t="s">
        <v>209</v>
      </c>
      <c r="B942" s="66" t="s">
        <v>472</v>
      </c>
      <c r="C942" s="67"/>
      <c r="D942" s="68"/>
      <c r="E942" s="69"/>
      <c r="F942" s="70"/>
      <c r="G942" s="67"/>
      <c r="H942" s="71"/>
      <c r="I942" s="72"/>
      <c r="J942" s="72"/>
      <c r="K942" s="36"/>
      <c r="L942" s="79">
        <v>942</v>
      </c>
      <c r="M942" s="79"/>
      <c r="N942" s="74"/>
      <c r="O942" s="81" t="s">
        <v>1235</v>
      </c>
    </row>
    <row r="943" spans="1:15" ht="15">
      <c r="A943" s="66" t="s">
        <v>209</v>
      </c>
      <c r="B943" s="66" t="s">
        <v>837</v>
      </c>
      <c r="C943" s="67"/>
      <c r="D943" s="68"/>
      <c r="E943" s="69"/>
      <c r="F943" s="70"/>
      <c r="G943" s="67"/>
      <c r="H943" s="71"/>
      <c r="I943" s="72"/>
      <c r="J943" s="72"/>
      <c r="K943" s="36"/>
      <c r="L943" s="79">
        <v>943</v>
      </c>
      <c r="M943" s="79"/>
      <c r="N943" s="74"/>
      <c r="O943" s="81" t="s">
        <v>1235</v>
      </c>
    </row>
    <row r="944" spans="1:15" ht="15">
      <c r="A944" s="66" t="s">
        <v>209</v>
      </c>
      <c r="B944" s="66" t="s">
        <v>838</v>
      </c>
      <c r="C944" s="67"/>
      <c r="D944" s="68"/>
      <c r="E944" s="69"/>
      <c r="F944" s="70"/>
      <c r="G944" s="67"/>
      <c r="H944" s="71"/>
      <c r="I944" s="72"/>
      <c r="J944" s="72"/>
      <c r="K944" s="36"/>
      <c r="L944" s="79">
        <v>944</v>
      </c>
      <c r="M944" s="79"/>
      <c r="N944" s="74"/>
      <c r="O944" s="81" t="s">
        <v>1235</v>
      </c>
    </row>
    <row r="945" spans="1:15" ht="15">
      <c r="A945" s="66" t="s">
        <v>209</v>
      </c>
      <c r="B945" s="66" t="s">
        <v>839</v>
      </c>
      <c r="C945" s="67"/>
      <c r="D945" s="68"/>
      <c r="E945" s="69"/>
      <c r="F945" s="70"/>
      <c r="G945" s="67"/>
      <c r="H945" s="71"/>
      <c r="I945" s="72"/>
      <c r="J945" s="72"/>
      <c r="K945" s="36"/>
      <c r="L945" s="79">
        <v>945</v>
      </c>
      <c r="M945" s="79"/>
      <c r="N945" s="74"/>
      <c r="O945" s="81" t="s">
        <v>1235</v>
      </c>
    </row>
    <row r="946" spans="1:15" ht="15">
      <c r="A946" s="66" t="s">
        <v>209</v>
      </c>
      <c r="B946" s="66" t="s">
        <v>612</v>
      </c>
      <c r="C946" s="67"/>
      <c r="D946" s="68"/>
      <c r="E946" s="69"/>
      <c r="F946" s="70"/>
      <c r="G946" s="67"/>
      <c r="H946" s="71"/>
      <c r="I946" s="72"/>
      <c r="J946" s="72"/>
      <c r="K946" s="36"/>
      <c r="L946" s="79">
        <v>946</v>
      </c>
      <c r="M946" s="79"/>
      <c r="N946" s="74"/>
      <c r="O946" s="81" t="s">
        <v>1235</v>
      </c>
    </row>
    <row r="947" spans="1:15" ht="15">
      <c r="A947" s="66" t="s">
        <v>209</v>
      </c>
      <c r="B947" s="66" t="s">
        <v>602</v>
      </c>
      <c r="C947" s="67"/>
      <c r="D947" s="68"/>
      <c r="E947" s="69"/>
      <c r="F947" s="70"/>
      <c r="G947" s="67"/>
      <c r="H947" s="71"/>
      <c r="I947" s="72"/>
      <c r="J947" s="72"/>
      <c r="K947" s="36"/>
      <c r="L947" s="79">
        <v>947</v>
      </c>
      <c r="M947" s="79"/>
      <c r="N947" s="74"/>
      <c r="O947" s="81" t="s">
        <v>1235</v>
      </c>
    </row>
    <row r="948" spans="1:15" ht="15">
      <c r="A948" s="66" t="s">
        <v>209</v>
      </c>
      <c r="B948" s="66" t="s">
        <v>220</v>
      </c>
      <c r="C948" s="67"/>
      <c r="D948" s="68"/>
      <c r="E948" s="69"/>
      <c r="F948" s="70"/>
      <c r="G948" s="67"/>
      <c r="H948" s="71"/>
      <c r="I948" s="72"/>
      <c r="J948" s="72"/>
      <c r="K948" s="36"/>
      <c r="L948" s="79">
        <v>948</v>
      </c>
      <c r="M948" s="79"/>
      <c r="N948" s="74"/>
      <c r="O948" s="81" t="s">
        <v>1235</v>
      </c>
    </row>
    <row r="949" spans="1:15" ht="15">
      <c r="A949" s="66" t="s">
        <v>209</v>
      </c>
      <c r="B949" s="66" t="s">
        <v>216</v>
      </c>
      <c r="C949" s="67"/>
      <c r="D949" s="68"/>
      <c r="E949" s="69"/>
      <c r="F949" s="70"/>
      <c r="G949" s="67"/>
      <c r="H949" s="71"/>
      <c r="I949" s="72"/>
      <c r="J949" s="72"/>
      <c r="K949" s="36"/>
      <c r="L949" s="79">
        <v>949</v>
      </c>
      <c r="M949" s="79"/>
      <c r="N949" s="74"/>
      <c r="O949" s="81" t="s">
        <v>1235</v>
      </c>
    </row>
    <row r="950" spans="1:15" ht="15">
      <c r="A950" s="66" t="s">
        <v>209</v>
      </c>
      <c r="B950" s="66" t="s">
        <v>179</v>
      </c>
      <c r="C950" s="67"/>
      <c r="D950" s="68"/>
      <c r="E950" s="69"/>
      <c r="F950" s="70"/>
      <c r="G950" s="67"/>
      <c r="H950" s="71"/>
      <c r="I950" s="72"/>
      <c r="J950" s="72"/>
      <c r="K950" s="36"/>
      <c r="L950" s="79">
        <v>950</v>
      </c>
      <c r="M950" s="79"/>
      <c r="N950" s="74"/>
      <c r="O950" s="81" t="s">
        <v>1235</v>
      </c>
    </row>
    <row r="951" spans="1:15" ht="15">
      <c r="A951" s="66" t="s">
        <v>209</v>
      </c>
      <c r="B951" s="66" t="s">
        <v>295</v>
      </c>
      <c r="C951" s="67"/>
      <c r="D951" s="68"/>
      <c r="E951" s="69"/>
      <c r="F951" s="70"/>
      <c r="G951" s="67"/>
      <c r="H951" s="71"/>
      <c r="I951" s="72"/>
      <c r="J951" s="72"/>
      <c r="K951" s="36"/>
      <c r="L951" s="79">
        <v>951</v>
      </c>
      <c r="M951" s="79"/>
      <c r="N951" s="74"/>
      <c r="O951" s="81" t="s">
        <v>1235</v>
      </c>
    </row>
    <row r="952" spans="1:15" ht="15">
      <c r="A952" s="66" t="s">
        <v>209</v>
      </c>
      <c r="B952" s="66" t="s">
        <v>190</v>
      </c>
      <c r="C952" s="67"/>
      <c r="D952" s="68"/>
      <c r="E952" s="69"/>
      <c r="F952" s="70"/>
      <c r="G952" s="67"/>
      <c r="H952" s="71"/>
      <c r="I952" s="72"/>
      <c r="J952" s="72"/>
      <c r="K952" s="36"/>
      <c r="L952" s="79">
        <v>952</v>
      </c>
      <c r="M952" s="79"/>
      <c r="N952" s="74"/>
      <c r="O952" s="81" t="s">
        <v>1235</v>
      </c>
    </row>
    <row r="953" spans="1:15" ht="15">
      <c r="A953" s="66" t="s">
        <v>209</v>
      </c>
      <c r="B953" s="66" t="s">
        <v>214</v>
      </c>
      <c r="C953" s="67"/>
      <c r="D953" s="68"/>
      <c r="E953" s="69"/>
      <c r="F953" s="70"/>
      <c r="G953" s="67"/>
      <c r="H953" s="71"/>
      <c r="I953" s="72"/>
      <c r="J953" s="72"/>
      <c r="K953" s="36"/>
      <c r="L953" s="79">
        <v>953</v>
      </c>
      <c r="M953" s="79"/>
      <c r="N953" s="74"/>
      <c r="O953" s="81" t="s">
        <v>1235</v>
      </c>
    </row>
    <row r="954" spans="1:15" ht="15">
      <c r="A954" s="66" t="s">
        <v>209</v>
      </c>
      <c r="B954" s="66" t="s">
        <v>343</v>
      </c>
      <c r="C954" s="67"/>
      <c r="D954" s="68"/>
      <c r="E954" s="69"/>
      <c r="F954" s="70"/>
      <c r="G954" s="67"/>
      <c r="H954" s="71"/>
      <c r="I954" s="72"/>
      <c r="J954" s="72"/>
      <c r="K954" s="36"/>
      <c r="L954" s="79">
        <v>954</v>
      </c>
      <c r="M954" s="79"/>
      <c r="N954" s="74"/>
      <c r="O954" s="81" t="s">
        <v>1235</v>
      </c>
    </row>
    <row r="955" spans="1:15" ht="15">
      <c r="A955" s="66" t="s">
        <v>209</v>
      </c>
      <c r="B955" s="66" t="s">
        <v>471</v>
      </c>
      <c r="C955" s="67"/>
      <c r="D955" s="68"/>
      <c r="E955" s="69"/>
      <c r="F955" s="70"/>
      <c r="G955" s="67"/>
      <c r="H955" s="71"/>
      <c r="I955" s="72"/>
      <c r="J955" s="72"/>
      <c r="K955" s="36"/>
      <c r="L955" s="79">
        <v>955</v>
      </c>
      <c r="M955" s="79"/>
      <c r="N955" s="74"/>
      <c r="O955" s="81" t="s">
        <v>1235</v>
      </c>
    </row>
    <row r="956" spans="1:15" ht="15">
      <c r="A956" s="66" t="s">
        <v>209</v>
      </c>
      <c r="B956" s="66" t="s">
        <v>225</v>
      </c>
      <c r="C956" s="67"/>
      <c r="D956" s="68"/>
      <c r="E956" s="69"/>
      <c r="F956" s="70"/>
      <c r="G956" s="67"/>
      <c r="H956" s="71"/>
      <c r="I956" s="72"/>
      <c r="J956" s="72"/>
      <c r="K956" s="36"/>
      <c r="L956" s="79">
        <v>956</v>
      </c>
      <c r="M956" s="79"/>
      <c r="N956" s="74"/>
      <c r="O956" s="81" t="s">
        <v>1235</v>
      </c>
    </row>
    <row r="957" spans="1:15" ht="15">
      <c r="A957" s="66" t="s">
        <v>209</v>
      </c>
      <c r="B957" s="66" t="s">
        <v>605</v>
      </c>
      <c r="C957" s="67"/>
      <c r="D957" s="68"/>
      <c r="E957" s="69"/>
      <c r="F957" s="70"/>
      <c r="G957" s="67"/>
      <c r="H957" s="71"/>
      <c r="I957" s="72"/>
      <c r="J957" s="72"/>
      <c r="K957" s="36"/>
      <c r="L957" s="79">
        <v>957</v>
      </c>
      <c r="M957" s="79"/>
      <c r="N957" s="74"/>
      <c r="O957" s="81" t="s">
        <v>1235</v>
      </c>
    </row>
    <row r="958" spans="1:15" ht="15">
      <c r="A958" s="66" t="s">
        <v>209</v>
      </c>
      <c r="B958" s="66" t="s">
        <v>193</v>
      </c>
      <c r="C958" s="67"/>
      <c r="D958" s="68"/>
      <c r="E958" s="69"/>
      <c r="F958" s="70"/>
      <c r="G958" s="67"/>
      <c r="H958" s="71"/>
      <c r="I958" s="72"/>
      <c r="J958" s="72"/>
      <c r="K958" s="36"/>
      <c r="L958" s="79">
        <v>958</v>
      </c>
      <c r="M958" s="79"/>
      <c r="N958" s="74"/>
      <c r="O958" s="81" t="s">
        <v>1235</v>
      </c>
    </row>
    <row r="959" spans="1:15" ht="15">
      <c r="A959" s="66" t="s">
        <v>209</v>
      </c>
      <c r="B959" s="66" t="s">
        <v>222</v>
      </c>
      <c r="C959" s="67"/>
      <c r="D959" s="68"/>
      <c r="E959" s="69"/>
      <c r="F959" s="70"/>
      <c r="G959" s="67"/>
      <c r="H959" s="71"/>
      <c r="I959" s="72"/>
      <c r="J959" s="72"/>
      <c r="K959" s="36"/>
      <c r="L959" s="79">
        <v>959</v>
      </c>
      <c r="M959" s="79"/>
      <c r="N959" s="74"/>
      <c r="O959" s="81" t="s">
        <v>1235</v>
      </c>
    </row>
    <row r="960" spans="1:15" ht="15">
      <c r="A960" s="66" t="s">
        <v>209</v>
      </c>
      <c r="B960" s="66" t="s">
        <v>221</v>
      </c>
      <c r="C960" s="67"/>
      <c r="D960" s="68"/>
      <c r="E960" s="69"/>
      <c r="F960" s="70"/>
      <c r="G960" s="67"/>
      <c r="H960" s="71"/>
      <c r="I960" s="72"/>
      <c r="J960" s="72"/>
      <c r="K960" s="36"/>
      <c r="L960" s="79">
        <v>960</v>
      </c>
      <c r="M960" s="79"/>
      <c r="N960" s="74"/>
      <c r="O960" s="81" t="s">
        <v>1235</v>
      </c>
    </row>
    <row r="961" spans="1:15" ht="15">
      <c r="A961" s="66" t="s">
        <v>209</v>
      </c>
      <c r="B961" s="66" t="s">
        <v>227</v>
      </c>
      <c r="C961" s="67"/>
      <c r="D961" s="68"/>
      <c r="E961" s="69"/>
      <c r="F961" s="70"/>
      <c r="G961" s="67"/>
      <c r="H961" s="71"/>
      <c r="I961" s="72"/>
      <c r="J961" s="72"/>
      <c r="K961" s="36"/>
      <c r="L961" s="79">
        <v>961</v>
      </c>
      <c r="M961" s="79"/>
      <c r="N961" s="74"/>
      <c r="O961" s="81" t="s">
        <v>1235</v>
      </c>
    </row>
    <row r="962" spans="1:15" ht="15">
      <c r="A962" s="66" t="s">
        <v>210</v>
      </c>
      <c r="B962" s="66" t="s">
        <v>840</v>
      </c>
      <c r="C962" s="67"/>
      <c r="D962" s="68"/>
      <c r="E962" s="69"/>
      <c r="F962" s="70"/>
      <c r="G962" s="67"/>
      <c r="H962" s="71"/>
      <c r="I962" s="72"/>
      <c r="J962" s="72"/>
      <c r="K962" s="36"/>
      <c r="L962" s="79">
        <v>962</v>
      </c>
      <c r="M962" s="79"/>
      <c r="N962" s="74"/>
      <c r="O962" s="81" t="s">
        <v>1235</v>
      </c>
    </row>
    <row r="963" spans="1:15" ht="15">
      <c r="A963" s="66" t="s">
        <v>210</v>
      </c>
      <c r="B963" s="66" t="s">
        <v>841</v>
      </c>
      <c r="C963" s="67"/>
      <c r="D963" s="68"/>
      <c r="E963" s="69"/>
      <c r="F963" s="70"/>
      <c r="G963" s="67"/>
      <c r="H963" s="71"/>
      <c r="I963" s="72"/>
      <c r="J963" s="72"/>
      <c r="K963" s="36"/>
      <c r="L963" s="79">
        <v>963</v>
      </c>
      <c r="M963" s="79"/>
      <c r="N963" s="74"/>
      <c r="O963" s="81" t="s">
        <v>1235</v>
      </c>
    </row>
    <row r="964" spans="1:15" ht="15">
      <c r="A964" s="66" t="s">
        <v>210</v>
      </c>
      <c r="B964" s="66" t="s">
        <v>842</v>
      </c>
      <c r="C964" s="67"/>
      <c r="D964" s="68"/>
      <c r="E964" s="69"/>
      <c r="F964" s="70"/>
      <c r="G964" s="67"/>
      <c r="H964" s="71"/>
      <c r="I964" s="72"/>
      <c r="J964" s="72"/>
      <c r="K964" s="36"/>
      <c r="L964" s="79">
        <v>964</v>
      </c>
      <c r="M964" s="79"/>
      <c r="N964" s="74"/>
      <c r="O964" s="81" t="s">
        <v>1235</v>
      </c>
    </row>
    <row r="965" spans="1:15" ht="15">
      <c r="A965" s="66" t="s">
        <v>210</v>
      </c>
      <c r="B965" s="66" t="s">
        <v>843</v>
      </c>
      <c r="C965" s="67"/>
      <c r="D965" s="68"/>
      <c r="E965" s="69"/>
      <c r="F965" s="70"/>
      <c r="G965" s="67"/>
      <c r="H965" s="71"/>
      <c r="I965" s="72"/>
      <c r="J965" s="72"/>
      <c r="K965" s="36"/>
      <c r="L965" s="79">
        <v>965</v>
      </c>
      <c r="M965" s="79"/>
      <c r="N965" s="74"/>
      <c r="O965" s="81" t="s">
        <v>1235</v>
      </c>
    </row>
    <row r="966" spans="1:15" ht="15">
      <c r="A966" s="66" t="s">
        <v>210</v>
      </c>
      <c r="B966" s="66" t="s">
        <v>844</v>
      </c>
      <c r="C966" s="67"/>
      <c r="D966" s="68"/>
      <c r="E966" s="69"/>
      <c r="F966" s="70"/>
      <c r="G966" s="67"/>
      <c r="H966" s="71"/>
      <c r="I966" s="72"/>
      <c r="J966" s="72"/>
      <c r="K966" s="36"/>
      <c r="L966" s="79">
        <v>966</v>
      </c>
      <c r="M966" s="79"/>
      <c r="N966" s="74"/>
      <c r="O966" s="81" t="s">
        <v>1235</v>
      </c>
    </row>
    <row r="967" spans="1:15" ht="15">
      <c r="A967" s="66" t="s">
        <v>210</v>
      </c>
      <c r="B967" s="66" t="s">
        <v>845</v>
      </c>
      <c r="C967" s="67"/>
      <c r="D967" s="68"/>
      <c r="E967" s="69"/>
      <c r="F967" s="70"/>
      <c r="G967" s="67"/>
      <c r="H967" s="71"/>
      <c r="I967" s="72"/>
      <c r="J967" s="72"/>
      <c r="K967" s="36"/>
      <c r="L967" s="79">
        <v>967</v>
      </c>
      <c r="M967" s="79"/>
      <c r="N967" s="74"/>
      <c r="O967" s="81" t="s">
        <v>1235</v>
      </c>
    </row>
    <row r="968" spans="1:15" ht="15">
      <c r="A968" s="66" t="s">
        <v>210</v>
      </c>
      <c r="B968" s="66" t="s">
        <v>846</v>
      </c>
      <c r="C968" s="67"/>
      <c r="D968" s="68"/>
      <c r="E968" s="69"/>
      <c r="F968" s="70"/>
      <c r="G968" s="67"/>
      <c r="H968" s="71"/>
      <c r="I968" s="72"/>
      <c r="J968" s="72"/>
      <c r="K968" s="36"/>
      <c r="L968" s="79">
        <v>968</v>
      </c>
      <c r="M968" s="79"/>
      <c r="N968" s="74"/>
      <c r="O968" s="81" t="s">
        <v>1235</v>
      </c>
    </row>
    <row r="969" spans="1:15" ht="15">
      <c r="A969" s="66" t="s">
        <v>210</v>
      </c>
      <c r="B969" s="66" t="s">
        <v>847</v>
      </c>
      <c r="C969" s="67"/>
      <c r="D969" s="68"/>
      <c r="E969" s="69"/>
      <c r="F969" s="70"/>
      <c r="G969" s="67"/>
      <c r="H969" s="71"/>
      <c r="I969" s="72"/>
      <c r="J969" s="72"/>
      <c r="K969" s="36"/>
      <c r="L969" s="79">
        <v>969</v>
      </c>
      <c r="M969" s="79"/>
      <c r="N969" s="74"/>
      <c r="O969" s="81" t="s">
        <v>1235</v>
      </c>
    </row>
    <row r="970" spans="1:15" ht="15">
      <c r="A970" s="66" t="s">
        <v>210</v>
      </c>
      <c r="B970" s="66" t="s">
        <v>848</v>
      </c>
      <c r="C970" s="67"/>
      <c r="D970" s="68"/>
      <c r="E970" s="69"/>
      <c r="F970" s="70"/>
      <c r="G970" s="67"/>
      <c r="H970" s="71"/>
      <c r="I970" s="72"/>
      <c r="J970" s="72"/>
      <c r="K970" s="36"/>
      <c r="L970" s="79">
        <v>970</v>
      </c>
      <c r="M970" s="79"/>
      <c r="N970" s="74"/>
      <c r="O970" s="81" t="s">
        <v>1235</v>
      </c>
    </row>
    <row r="971" spans="1:15" ht="15">
      <c r="A971" s="66" t="s">
        <v>210</v>
      </c>
      <c r="B971" s="66" t="s">
        <v>849</v>
      </c>
      <c r="C971" s="67"/>
      <c r="D971" s="68"/>
      <c r="E971" s="69"/>
      <c r="F971" s="70"/>
      <c r="G971" s="67"/>
      <c r="H971" s="71"/>
      <c r="I971" s="72"/>
      <c r="J971" s="72"/>
      <c r="K971" s="36"/>
      <c r="L971" s="79">
        <v>971</v>
      </c>
      <c r="M971" s="79"/>
      <c r="N971" s="74"/>
      <c r="O971" s="81" t="s">
        <v>1235</v>
      </c>
    </row>
    <row r="972" spans="1:15" ht="15">
      <c r="A972" s="66" t="s">
        <v>210</v>
      </c>
      <c r="B972" s="66" t="s">
        <v>850</v>
      </c>
      <c r="C972" s="67"/>
      <c r="D972" s="68"/>
      <c r="E972" s="69"/>
      <c r="F972" s="70"/>
      <c r="G972" s="67"/>
      <c r="H972" s="71"/>
      <c r="I972" s="72"/>
      <c r="J972" s="72"/>
      <c r="K972" s="36"/>
      <c r="L972" s="79">
        <v>972</v>
      </c>
      <c r="M972" s="79"/>
      <c r="N972" s="74"/>
      <c r="O972" s="81" t="s">
        <v>1235</v>
      </c>
    </row>
    <row r="973" spans="1:15" ht="15">
      <c r="A973" s="66" t="s">
        <v>210</v>
      </c>
      <c r="B973" s="66" t="s">
        <v>851</v>
      </c>
      <c r="C973" s="67"/>
      <c r="D973" s="68"/>
      <c r="E973" s="69"/>
      <c r="F973" s="70"/>
      <c r="G973" s="67"/>
      <c r="H973" s="71"/>
      <c r="I973" s="72"/>
      <c r="J973" s="72"/>
      <c r="K973" s="36"/>
      <c r="L973" s="79">
        <v>973</v>
      </c>
      <c r="M973" s="79"/>
      <c r="N973" s="74"/>
      <c r="O973" s="81" t="s">
        <v>1235</v>
      </c>
    </row>
    <row r="974" spans="1:15" ht="15">
      <c r="A974" s="66" t="s">
        <v>210</v>
      </c>
      <c r="B974" s="66" t="s">
        <v>852</v>
      </c>
      <c r="C974" s="67"/>
      <c r="D974" s="68"/>
      <c r="E974" s="69"/>
      <c r="F974" s="70"/>
      <c r="G974" s="67"/>
      <c r="H974" s="71"/>
      <c r="I974" s="72"/>
      <c r="J974" s="72"/>
      <c r="K974" s="36"/>
      <c r="L974" s="79">
        <v>974</v>
      </c>
      <c r="M974" s="79"/>
      <c r="N974" s="74"/>
      <c r="O974" s="81" t="s">
        <v>1235</v>
      </c>
    </row>
    <row r="975" spans="1:15" ht="15">
      <c r="A975" s="66" t="s">
        <v>210</v>
      </c>
      <c r="B975" s="66" t="s">
        <v>853</v>
      </c>
      <c r="C975" s="67"/>
      <c r="D975" s="68"/>
      <c r="E975" s="69"/>
      <c r="F975" s="70"/>
      <c r="G975" s="67"/>
      <c r="H975" s="71"/>
      <c r="I975" s="72"/>
      <c r="J975" s="72"/>
      <c r="K975" s="36"/>
      <c r="L975" s="79">
        <v>975</v>
      </c>
      <c r="M975" s="79"/>
      <c r="N975" s="74"/>
      <c r="O975" s="81" t="s">
        <v>1235</v>
      </c>
    </row>
    <row r="976" spans="1:15" ht="15">
      <c r="A976" s="66" t="s">
        <v>210</v>
      </c>
      <c r="B976" s="66" t="s">
        <v>854</v>
      </c>
      <c r="C976" s="67"/>
      <c r="D976" s="68"/>
      <c r="E976" s="69"/>
      <c r="F976" s="70"/>
      <c r="G976" s="67"/>
      <c r="H976" s="71"/>
      <c r="I976" s="72"/>
      <c r="J976" s="72"/>
      <c r="K976" s="36"/>
      <c r="L976" s="79">
        <v>976</v>
      </c>
      <c r="M976" s="79"/>
      <c r="N976" s="74"/>
      <c r="O976" s="81" t="s">
        <v>1235</v>
      </c>
    </row>
    <row r="977" spans="1:15" ht="15">
      <c r="A977" s="66" t="s">
        <v>210</v>
      </c>
      <c r="B977" s="66" t="s">
        <v>855</v>
      </c>
      <c r="C977" s="67"/>
      <c r="D977" s="68"/>
      <c r="E977" s="69"/>
      <c r="F977" s="70"/>
      <c r="G977" s="67"/>
      <c r="H977" s="71"/>
      <c r="I977" s="72"/>
      <c r="J977" s="72"/>
      <c r="K977" s="36"/>
      <c r="L977" s="79">
        <v>977</v>
      </c>
      <c r="M977" s="79"/>
      <c r="N977" s="74"/>
      <c r="O977" s="81" t="s">
        <v>1235</v>
      </c>
    </row>
    <row r="978" spans="1:15" ht="15">
      <c r="A978" s="66" t="s">
        <v>210</v>
      </c>
      <c r="B978" s="66" t="s">
        <v>856</v>
      </c>
      <c r="C978" s="67"/>
      <c r="D978" s="68"/>
      <c r="E978" s="69"/>
      <c r="F978" s="70"/>
      <c r="G978" s="67"/>
      <c r="H978" s="71"/>
      <c r="I978" s="72"/>
      <c r="J978" s="72"/>
      <c r="K978" s="36"/>
      <c r="L978" s="79">
        <v>978</v>
      </c>
      <c r="M978" s="79"/>
      <c r="N978" s="74"/>
      <c r="O978" s="81" t="s">
        <v>1235</v>
      </c>
    </row>
    <row r="979" spans="1:15" ht="15">
      <c r="A979" s="66" t="s">
        <v>210</v>
      </c>
      <c r="B979" s="66" t="s">
        <v>857</v>
      </c>
      <c r="C979" s="67"/>
      <c r="D979" s="68"/>
      <c r="E979" s="69"/>
      <c r="F979" s="70"/>
      <c r="G979" s="67"/>
      <c r="H979" s="71"/>
      <c r="I979" s="72"/>
      <c r="J979" s="72"/>
      <c r="K979" s="36"/>
      <c r="L979" s="79">
        <v>979</v>
      </c>
      <c r="M979" s="79"/>
      <c r="N979" s="74"/>
      <c r="O979" s="81" t="s">
        <v>1235</v>
      </c>
    </row>
    <row r="980" spans="1:15" ht="15">
      <c r="A980" s="66" t="s">
        <v>210</v>
      </c>
      <c r="B980" s="66" t="s">
        <v>858</v>
      </c>
      <c r="C980" s="67"/>
      <c r="D980" s="68"/>
      <c r="E980" s="69"/>
      <c r="F980" s="70"/>
      <c r="G980" s="67"/>
      <c r="H980" s="71"/>
      <c r="I980" s="72"/>
      <c r="J980" s="72"/>
      <c r="K980" s="36"/>
      <c r="L980" s="79">
        <v>980</v>
      </c>
      <c r="M980" s="79"/>
      <c r="N980" s="74"/>
      <c r="O980" s="81" t="s">
        <v>1235</v>
      </c>
    </row>
    <row r="981" spans="1:15" ht="15">
      <c r="A981" s="66" t="s">
        <v>210</v>
      </c>
      <c r="B981" s="66" t="s">
        <v>714</v>
      </c>
      <c r="C981" s="67"/>
      <c r="D981" s="68"/>
      <c r="E981" s="69"/>
      <c r="F981" s="70"/>
      <c r="G981" s="67"/>
      <c r="H981" s="71"/>
      <c r="I981" s="72"/>
      <c r="J981" s="72"/>
      <c r="K981" s="36"/>
      <c r="L981" s="79">
        <v>981</v>
      </c>
      <c r="M981" s="79"/>
      <c r="N981" s="74"/>
      <c r="O981" s="81" t="s">
        <v>1235</v>
      </c>
    </row>
    <row r="982" spans="1:15" ht="15">
      <c r="A982" s="66" t="s">
        <v>210</v>
      </c>
      <c r="B982" s="66" t="s">
        <v>859</v>
      </c>
      <c r="C982" s="67"/>
      <c r="D982" s="68"/>
      <c r="E982" s="69"/>
      <c r="F982" s="70"/>
      <c r="G982" s="67"/>
      <c r="H982" s="71"/>
      <c r="I982" s="72"/>
      <c r="J982" s="72"/>
      <c r="K982" s="36"/>
      <c r="L982" s="79">
        <v>982</v>
      </c>
      <c r="M982" s="79"/>
      <c r="N982" s="74"/>
      <c r="O982" s="81" t="s">
        <v>1235</v>
      </c>
    </row>
    <row r="983" spans="1:15" ht="15">
      <c r="A983" s="66" t="s">
        <v>210</v>
      </c>
      <c r="B983" s="66" t="s">
        <v>860</v>
      </c>
      <c r="C983" s="67"/>
      <c r="D983" s="68"/>
      <c r="E983" s="69"/>
      <c r="F983" s="70"/>
      <c r="G983" s="67"/>
      <c r="H983" s="71"/>
      <c r="I983" s="72"/>
      <c r="J983" s="72"/>
      <c r="K983" s="36"/>
      <c r="L983" s="79">
        <v>983</v>
      </c>
      <c r="M983" s="79"/>
      <c r="N983" s="74"/>
      <c r="O983" s="81" t="s">
        <v>1235</v>
      </c>
    </row>
    <row r="984" spans="1:15" ht="15">
      <c r="A984" s="66" t="s">
        <v>210</v>
      </c>
      <c r="B984" s="66" t="s">
        <v>861</v>
      </c>
      <c r="C984" s="67"/>
      <c r="D984" s="68"/>
      <c r="E984" s="69"/>
      <c r="F984" s="70"/>
      <c r="G984" s="67"/>
      <c r="H984" s="71"/>
      <c r="I984" s="72"/>
      <c r="J984" s="72"/>
      <c r="K984" s="36"/>
      <c r="L984" s="79">
        <v>984</v>
      </c>
      <c r="M984" s="79"/>
      <c r="N984" s="74"/>
      <c r="O984" s="81" t="s">
        <v>1235</v>
      </c>
    </row>
    <row r="985" spans="1:15" ht="15">
      <c r="A985" s="66" t="s">
        <v>210</v>
      </c>
      <c r="B985" s="66" t="s">
        <v>862</v>
      </c>
      <c r="C985" s="67"/>
      <c r="D985" s="68"/>
      <c r="E985" s="69"/>
      <c r="F985" s="70"/>
      <c r="G985" s="67"/>
      <c r="H985" s="71"/>
      <c r="I985" s="72"/>
      <c r="J985" s="72"/>
      <c r="K985" s="36"/>
      <c r="L985" s="79">
        <v>985</v>
      </c>
      <c r="M985" s="79"/>
      <c r="N985" s="74"/>
      <c r="O985" s="81" t="s">
        <v>1235</v>
      </c>
    </row>
    <row r="986" spans="1:15" ht="15">
      <c r="A986" s="66" t="s">
        <v>210</v>
      </c>
      <c r="B986" s="66" t="s">
        <v>863</v>
      </c>
      <c r="C986" s="67"/>
      <c r="D986" s="68"/>
      <c r="E986" s="69"/>
      <c r="F986" s="70"/>
      <c r="G986" s="67"/>
      <c r="H986" s="71"/>
      <c r="I986" s="72"/>
      <c r="J986" s="72"/>
      <c r="K986" s="36"/>
      <c r="L986" s="79">
        <v>986</v>
      </c>
      <c r="M986" s="79"/>
      <c r="N986" s="74"/>
      <c r="O986" s="81" t="s">
        <v>1235</v>
      </c>
    </row>
    <row r="987" spans="1:15" ht="15">
      <c r="A987" s="66" t="s">
        <v>210</v>
      </c>
      <c r="B987" s="66" t="s">
        <v>614</v>
      </c>
      <c r="C987" s="67"/>
      <c r="D987" s="68"/>
      <c r="E987" s="69"/>
      <c r="F987" s="70"/>
      <c r="G987" s="67"/>
      <c r="H987" s="71"/>
      <c r="I987" s="72"/>
      <c r="J987" s="72"/>
      <c r="K987" s="36"/>
      <c r="L987" s="79">
        <v>987</v>
      </c>
      <c r="M987" s="79"/>
      <c r="N987" s="74"/>
      <c r="O987" s="81" t="s">
        <v>1235</v>
      </c>
    </row>
    <row r="988" spans="1:15" ht="15">
      <c r="A988" s="66" t="s">
        <v>210</v>
      </c>
      <c r="B988" s="66" t="s">
        <v>864</v>
      </c>
      <c r="C988" s="67"/>
      <c r="D988" s="68"/>
      <c r="E988" s="69"/>
      <c r="F988" s="70"/>
      <c r="G988" s="67"/>
      <c r="H988" s="71"/>
      <c r="I988" s="72"/>
      <c r="J988" s="72"/>
      <c r="K988" s="36"/>
      <c r="L988" s="79">
        <v>988</v>
      </c>
      <c r="M988" s="79"/>
      <c r="N988" s="74"/>
      <c r="O988" s="81" t="s">
        <v>1235</v>
      </c>
    </row>
    <row r="989" spans="1:15" ht="15">
      <c r="A989" s="66" t="s">
        <v>210</v>
      </c>
      <c r="B989" s="66" t="s">
        <v>715</v>
      </c>
      <c r="C989" s="67"/>
      <c r="D989" s="68"/>
      <c r="E989" s="69"/>
      <c r="F989" s="70"/>
      <c r="G989" s="67"/>
      <c r="H989" s="71"/>
      <c r="I989" s="72"/>
      <c r="J989" s="72"/>
      <c r="K989" s="36"/>
      <c r="L989" s="79">
        <v>989</v>
      </c>
      <c r="M989" s="79"/>
      <c r="N989" s="74"/>
      <c r="O989" s="81" t="s">
        <v>1235</v>
      </c>
    </row>
    <row r="990" spans="1:15" ht="15">
      <c r="A990" s="66" t="s">
        <v>210</v>
      </c>
      <c r="B990" s="66" t="s">
        <v>716</v>
      </c>
      <c r="C990" s="67"/>
      <c r="D990" s="68"/>
      <c r="E990" s="69"/>
      <c r="F990" s="70"/>
      <c r="G990" s="67"/>
      <c r="H990" s="71"/>
      <c r="I990" s="72"/>
      <c r="J990" s="72"/>
      <c r="K990" s="36"/>
      <c r="L990" s="79">
        <v>990</v>
      </c>
      <c r="M990" s="79"/>
      <c r="N990" s="74"/>
      <c r="O990" s="81" t="s">
        <v>1235</v>
      </c>
    </row>
    <row r="991" spans="1:15" ht="15">
      <c r="A991" s="66" t="s">
        <v>210</v>
      </c>
      <c r="B991" s="66" t="s">
        <v>717</v>
      </c>
      <c r="C991" s="67"/>
      <c r="D991" s="68"/>
      <c r="E991" s="69"/>
      <c r="F991" s="70"/>
      <c r="G991" s="67"/>
      <c r="H991" s="71"/>
      <c r="I991" s="72"/>
      <c r="J991" s="72"/>
      <c r="K991" s="36"/>
      <c r="L991" s="79">
        <v>991</v>
      </c>
      <c r="M991" s="79"/>
      <c r="N991" s="74"/>
      <c r="O991" s="81" t="s">
        <v>1235</v>
      </c>
    </row>
    <row r="992" spans="1:15" ht="15">
      <c r="A992" s="66" t="s">
        <v>210</v>
      </c>
      <c r="B992" s="66" t="s">
        <v>865</v>
      </c>
      <c r="C992" s="67"/>
      <c r="D992" s="68"/>
      <c r="E992" s="69"/>
      <c r="F992" s="70"/>
      <c r="G992" s="67"/>
      <c r="H992" s="71"/>
      <c r="I992" s="72"/>
      <c r="J992" s="72"/>
      <c r="K992" s="36"/>
      <c r="L992" s="79">
        <v>992</v>
      </c>
      <c r="M992" s="79"/>
      <c r="N992" s="74"/>
      <c r="O992" s="81" t="s">
        <v>1235</v>
      </c>
    </row>
    <row r="993" spans="1:15" ht="15">
      <c r="A993" s="66" t="s">
        <v>210</v>
      </c>
      <c r="B993" s="66" t="s">
        <v>226</v>
      </c>
      <c r="C993" s="67"/>
      <c r="D993" s="68"/>
      <c r="E993" s="69"/>
      <c r="F993" s="70"/>
      <c r="G993" s="67"/>
      <c r="H993" s="71"/>
      <c r="I993" s="72"/>
      <c r="J993" s="72"/>
      <c r="K993" s="36"/>
      <c r="L993" s="79">
        <v>993</v>
      </c>
      <c r="M993" s="79"/>
      <c r="N993" s="74"/>
      <c r="O993" s="81" t="s">
        <v>1235</v>
      </c>
    </row>
    <row r="994" spans="1:15" ht="15">
      <c r="A994" s="66" t="s">
        <v>210</v>
      </c>
      <c r="B994" s="66" t="s">
        <v>215</v>
      </c>
      <c r="C994" s="67"/>
      <c r="D994" s="68"/>
      <c r="E994" s="69"/>
      <c r="F994" s="70"/>
      <c r="G994" s="67"/>
      <c r="H994" s="71"/>
      <c r="I994" s="72"/>
      <c r="J994" s="72"/>
      <c r="K994" s="36"/>
      <c r="L994" s="79">
        <v>994</v>
      </c>
      <c r="M994" s="79"/>
      <c r="N994" s="74"/>
      <c r="O994" s="81" t="s">
        <v>1235</v>
      </c>
    </row>
    <row r="995" spans="1:15" ht="15">
      <c r="A995" s="66" t="s">
        <v>210</v>
      </c>
      <c r="B995" s="66" t="s">
        <v>718</v>
      </c>
      <c r="C995" s="67"/>
      <c r="D995" s="68"/>
      <c r="E995" s="69"/>
      <c r="F995" s="70"/>
      <c r="G995" s="67"/>
      <c r="H995" s="71"/>
      <c r="I995" s="72"/>
      <c r="J995" s="72"/>
      <c r="K995" s="36"/>
      <c r="L995" s="79">
        <v>995</v>
      </c>
      <c r="M995" s="79"/>
      <c r="N995" s="74"/>
      <c r="O995" s="81" t="s">
        <v>1235</v>
      </c>
    </row>
    <row r="996" spans="1:15" ht="15">
      <c r="A996" s="66" t="s">
        <v>211</v>
      </c>
      <c r="B996" s="66" t="s">
        <v>866</v>
      </c>
      <c r="C996" s="67"/>
      <c r="D996" s="68"/>
      <c r="E996" s="69"/>
      <c r="F996" s="70"/>
      <c r="G996" s="67"/>
      <c r="H996" s="71"/>
      <c r="I996" s="72"/>
      <c r="J996" s="72"/>
      <c r="K996" s="36"/>
      <c r="L996" s="79">
        <v>996</v>
      </c>
      <c r="M996" s="79"/>
      <c r="N996" s="74"/>
      <c r="O996" s="81" t="s">
        <v>1235</v>
      </c>
    </row>
    <row r="997" spans="1:15" ht="15">
      <c r="A997" s="66" t="s">
        <v>211</v>
      </c>
      <c r="B997" s="66" t="s">
        <v>867</v>
      </c>
      <c r="C997" s="67"/>
      <c r="D997" s="68"/>
      <c r="E997" s="69"/>
      <c r="F997" s="70"/>
      <c r="G997" s="67"/>
      <c r="H997" s="71"/>
      <c r="I997" s="72"/>
      <c r="J997" s="72"/>
      <c r="K997" s="36"/>
      <c r="L997" s="79">
        <v>997</v>
      </c>
      <c r="M997" s="79"/>
      <c r="N997" s="74"/>
      <c r="O997" s="81" t="s">
        <v>1235</v>
      </c>
    </row>
    <row r="998" spans="1:15" ht="15">
      <c r="A998" s="66" t="s">
        <v>211</v>
      </c>
      <c r="B998" s="66" t="s">
        <v>868</v>
      </c>
      <c r="C998" s="67"/>
      <c r="D998" s="68"/>
      <c r="E998" s="69"/>
      <c r="F998" s="70"/>
      <c r="G998" s="67"/>
      <c r="H998" s="71"/>
      <c r="I998" s="72"/>
      <c r="J998" s="72"/>
      <c r="K998" s="36"/>
      <c r="L998" s="79">
        <v>998</v>
      </c>
      <c r="M998" s="79"/>
      <c r="N998" s="74"/>
      <c r="O998" s="81" t="s">
        <v>1235</v>
      </c>
    </row>
    <row r="999" spans="1:15" ht="15">
      <c r="A999" s="66" t="s">
        <v>211</v>
      </c>
      <c r="B999" s="66" t="s">
        <v>869</v>
      </c>
      <c r="C999" s="67"/>
      <c r="D999" s="68"/>
      <c r="E999" s="69"/>
      <c r="F999" s="70"/>
      <c r="G999" s="67"/>
      <c r="H999" s="71"/>
      <c r="I999" s="72"/>
      <c r="J999" s="72"/>
      <c r="K999" s="36"/>
      <c r="L999" s="79">
        <v>999</v>
      </c>
      <c r="M999" s="79"/>
      <c r="N999" s="74"/>
      <c r="O999" s="81" t="s">
        <v>1235</v>
      </c>
    </row>
    <row r="1000" spans="1:15" ht="15">
      <c r="A1000" s="66" t="s">
        <v>211</v>
      </c>
      <c r="B1000" s="66" t="s">
        <v>870</v>
      </c>
      <c r="C1000" s="67"/>
      <c r="D1000" s="68"/>
      <c r="E1000" s="69"/>
      <c r="F1000" s="70"/>
      <c r="G1000" s="67"/>
      <c r="H1000" s="71"/>
      <c r="I1000" s="72"/>
      <c r="J1000" s="72"/>
      <c r="K1000" s="36"/>
      <c r="L1000" s="79">
        <v>1000</v>
      </c>
      <c r="M1000" s="79"/>
      <c r="N1000" s="74"/>
      <c r="O1000" s="81" t="s">
        <v>1235</v>
      </c>
    </row>
    <row r="1001" spans="1:15" ht="15">
      <c r="A1001" s="66" t="s">
        <v>211</v>
      </c>
      <c r="B1001" s="66" t="s">
        <v>871</v>
      </c>
      <c r="C1001" s="67"/>
      <c r="D1001" s="68"/>
      <c r="E1001" s="69"/>
      <c r="F1001" s="70"/>
      <c r="G1001" s="67"/>
      <c r="H1001" s="71"/>
      <c r="I1001" s="72"/>
      <c r="J1001" s="72"/>
      <c r="K1001" s="36"/>
      <c r="L1001" s="79">
        <v>1001</v>
      </c>
      <c r="M1001" s="79"/>
      <c r="N1001" s="74"/>
      <c r="O1001" s="81" t="s">
        <v>1235</v>
      </c>
    </row>
    <row r="1002" spans="1:15" ht="15">
      <c r="A1002" s="66" t="s">
        <v>211</v>
      </c>
      <c r="B1002" s="66" t="s">
        <v>872</v>
      </c>
      <c r="C1002" s="67"/>
      <c r="D1002" s="68"/>
      <c r="E1002" s="69"/>
      <c r="F1002" s="70"/>
      <c r="G1002" s="67"/>
      <c r="H1002" s="71"/>
      <c r="I1002" s="72"/>
      <c r="J1002" s="72"/>
      <c r="K1002" s="36"/>
      <c r="L1002" s="79">
        <v>1002</v>
      </c>
      <c r="M1002" s="79"/>
      <c r="N1002" s="74"/>
      <c r="O1002" s="81" t="s">
        <v>1235</v>
      </c>
    </row>
    <row r="1003" spans="1:15" ht="15">
      <c r="A1003" s="66" t="s">
        <v>211</v>
      </c>
      <c r="B1003" s="66" t="s">
        <v>873</v>
      </c>
      <c r="C1003" s="67"/>
      <c r="D1003" s="68"/>
      <c r="E1003" s="69"/>
      <c r="F1003" s="70"/>
      <c r="G1003" s="67"/>
      <c r="H1003" s="71"/>
      <c r="I1003" s="72"/>
      <c r="J1003" s="72"/>
      <c r="K1003" s="36"/>
      <c r="L1003" s="79">
        <v>1003</v>
      </c>
      <c r="M1003" s="79"/>
      <c r="N1003" s="74"/>
      <c r="O1003" s="81" t="s">
        <v>1235</v>
      </c>
    </row>
    <row r="1004" spans="1:15" ht="15">
      <c r="A1004" s="66" t="s">
        <v>211</v>
      </c>
      <c r="B1004" s="66" t="s">
        <v>874</v>
      </c>
      <c r="C1004" s="67"/>
      <c r="D1004" s="68"/>
      <c r="E1004" s="69"/>
      <c r="F1004" s="70"/>
      <c r="G1004" s="67"/>
      <c r="H1004" s="71"/>
      <c r="I1004" s="72"/>
      <c r="J1004" s="72"/>
      <c r="K1004" s="36"/>
      <c r="L1004" s="79">
        <v>1004</v>
      </c>
      <c r="M1004" s="79"/>
      <c r="N1004" s="74"/>
      <c r="O1004" s="81" t="s">
        <v>1235</v>
      </c>
    </row>
    <row r="1005" spans="1:15" ht="15">
      <c r="A1005" s="66" t="s">
        <v>211</v>
      </c>
      <c r="B1005" s="66" t="s">
        <v>875</v>
      </c>
      <c r="C1005" s="67"/>
      <c r="D1005" s="68"/>
      <c r="E1005" s="69"/>
      <c r="F1005" s="70"/>
      <c r="G1005" s="67"/>
      <c r="H1005" s="71"/>
      <c r="I1005" s="72"/>
      <c r="J1005" s="72"/>
      <c r="K1005" s="36"/>
      <c r="L1005" s="79">
        <v>1005</v>
      </c>
      <c r="M1005" s="79"/>
      <c r="N1005" s="74"/>
      <c r="O1005" s="81" t="s">
        <v>1235</v>
      </c>
    </row>
    <row r="1006" spans="1:15" ht="15">
      <c r="A1006" s="66" t="s">
        <v>211</v>
      </c>
      <c r="B1006" s="66" t="s">
        <v>876</v>
      </c>
      <c r="C1006" s="67"/>
      <c r="D1006" s="68"/>
      <c r="E1006" s="69"/>
      <c r="F1006" s="70"/>
      <c r="G1006" s="67"/>
      <c r="H1006" s="71"/>
      <c r="I1006" s="72"/>
      <c r="J1006" s="72"/>
      <c r="K1006" s="36"/>
      <c r="L1006" s="79">
        <v>1006</v>
      </c>
      <c r="M1006" s="79"/>
      <c r="N1006" s="74"/>
      <c r="O1006" s="81" t="s">
        <v>1235</v>
      </c>
    </row>
    <row r="1007" spans="1:15" ht="15">
      <c r="A1007" s="66" t="s">
        <v>211</v>
      </c>
      <c r="B1007" s="66" t="s">
        <v>877</v>
      </c>
      <c r="C1007" s="67"/>
      <c r="D1007" s="68"/>
      <c r="E1007" s="69"/>
      <c r="F1007" s="70"/>
      <c r="G1007" s="67"/>
      <c r="H1007" s="71"/>
      <c r="I1007" s="72"/>
      <c r="J1007" s="72"/>
      <c r="K1007" s="36"/>
      <c r="L1007" s="79">
        <v>1007</v>
      </c>
      <c r="M1007" s="79"/>
      <c r="N1007" s="74"/>
      <c r="O1007" s="81" t="s">
        <v>1235</v>
      </c>
    </row>
    <row r="1008" spans="1:15" ht="15">
      <c r="A1008" s="66" t="s">
        <v>211</v>
      </c>
      <c r="B1008" s="66" t="s">
        <v>878</v>
      </c>
      <c r="C1008" s="67"/>
      <c r="D1008" s="68"/>
      <c r="E1008" s="69"/>
      <c r="F1008" s="70"/>
      <c r="G1008" s="67"/>
      <c r="H1008" s="71"/>
      <c r="I1008" s="72"/>
      <c r="J1008" s="72"/>
      <c r="K1008" s="36"/>
      <c r="L1008" s="79">
        <v>1008</v>
      </c>
      <c r="M1008" s="79"/>
      <c r="N1008" s="74"/>
      <c r="O1008" s="81" t="s">
        <v>1235</v>
      </c>
    </row>
    <row r="1009" spans="1:15" ht="15">
      <c r="A1009" s="66" t="s">
        <v>179</v>
      </c>
      <c r="B1009" s="66" t="s">
        <v>650</v>
      </c>
      <c r="C1009" s="67"/>
      <c r="D1009" s="68"/>
      <c r="E1009" s="69"/>
      <c r="F1009" s="70"/>
      <c r="G1009" s="67"/>
      <c r="H1009" s="71"/>
      <c r="I1009" s="72"/>
      <c r="J1009" s="72"/>
      <c r="K1009" s="36"/>
      <c r="L1009" s="79">
        <v>1009</v>
      </c>
      <c r="M1009" s="79"/>
      <c r="N1009" s="74"/>
      <c r="O1009" s="81" t="s">
        <v>1235</v>
      </c>
    </row>
    <row r="1010" spans="1:15" ht="15">
      <c r="A1010" s="66" t="s">
        <v>211</v>
      </c>
      <c r="B1010" s="66" t="s">
        <v>650</v>
      </c>
      <c r="C1010" s="67"/>
      <c r="D1010" s="68"/>
      <c r="E1010" s="69"/>
      <c r="F1010" s="70"/>
      <c r="G1010" s="67"/>
      <c r="H1010" s="71"/>
      <c r="I1010" s="72"/>
      <c r="J1010" s="72"/>
      <c r="K1010" s="36"/>
      <c r="L1010" s="79">
        <v>1010</v>
      </c>
      <c r="M1010" s="79"/>
      <c r="N1010" s="74"/>
      <c r="O1010" s="81" t="s">
        <v>1235</v>
      </c>
    </row>
    <row r="1011" spans="1:15" ht="15">
      <c r="A1011" s="66" t="s">
        <v>211</v>
      </c>
      <c r="B1011" s="66" t="s">
        <v>879</v>
      </c>
      <c r="C1011" s="67"/>
      <c r="D1011" s="68"/>
      <c r="E1011" s="69"/>
      <c r="F1011" s="70"/>
      <c r="G1011" s="67"/>
      <c r="H1011" s="71"/>
      <c r="I1011" s="72"/>
      <c r="J1011" s="72"/>
      <c r="K1011" s="36"/>
      <c r="L1011" s="79">
        <v>1011</v>
      </c>
      <c r="M1011" s="79"/>
      <c r="N1011" s="74"/>
      <c r="O1011" s="81" t="s">
        <v>1235</v>
      </c>
    </row>
    <row r="1012" spans="1:15" ht="15">
      <c r="A1012" s="66" t="s">
        <v>211</v>
      </c>
      <c r="B1012" s="66" t="s">
        <v>880</v>
      </c>
      <c r="C1012" s="67"/>
      <c r="D1012" s="68"/>
      <c r="E1012" s="69"/>
      <c r="F1012" s="70"/>
      <c r="G1012" s="67"/>
      <c r="H1012" s="71"/>
      <c r="I1012" s="72"/>
      <c r="J1012" s="72"/>
      <c r="K1012" s="36"/>
      <c r="L1012" s="79">
        <v>1012</v>
      </c>
      <c r="M1012" s="79"/>
      <c r="N1012" s="74"/>
      <c r="O1012" s="81" t="s">
        <v>1235</v>
      </c>
    </row>
    <row r="1013" spans="1:15" ht="15">
      <c r="A1013" s="66" t="s">
        <v>211</v>
      </c>
      <c r="B1013" s="66" t="s">
        <v>729</v>
      </c>
      <c r="C1013" s="67"/>
      <c r="D1013" s="68"/>
      <c r="E1013" s="69"/>
      <c r="F1013" s="70"/>
      <c r="G1013" s="67"/>
      <c r="H1013" s="71"/>
      <c r="I1013" s="72"/>
      <c r="J1013" s="72"/>
      <c r="K1013" s="36"/>
      <c r="L1013" s="79">
        <v>1013</v>
      </c>
      <c r="M1013" s="79"/>
      <c r="N1013" s="74"/>
      <c r="O1013" s="81" t="s">
        <v>1235</v>
      </c>
    </row>
    <row r="1014" spans="1:15" ht="15">
      <c r="A1014" s="66" t="s">
        <v>211</v>
      </c>
      <c r="B1014" s="66" t="s">
        <v>881</v>
      </c>
      <c r="C1014" s="67"/>
      <c r="D1014" s="68"/>
      <c r="E1014" s="69"/>
      <c r="F1014" s="70"/>
      <c r="G1014" s="67"/>
      <c r="H1014" s="71"/>
      <c r="I1014" s="72"/>
      <c r="J1014" s="72"/>
      <c r="K1014" s="36"/>
      <c r="L1014" s="79">
        <v>1014</v>
      </c>
      <c r="M1014" s="79"/>
      <c r="N1014" s="74"/>
      <c r="O1014" s="81" t="s">
        <v>1235</v>
      </c>
    </row>
    <row r="1015" spans="1:15" ht="15">
      <c r="A1015" s="66" t="s">
        <v>211</v>
      </c>
      <c r="B1015" s="66" t="s">
        <v>882</v>
      </c>
      <c r="C1015" s="67"/>
      <c r="D1015" s="68"/>
      <c r="E1015" s="69"/>
      <c r="F1015" s="70"/>
      <c r="G1015" s="67"/>
      <c r="H1015" s="71"/>
      <c r="I1015" s="72"/>
      <c r="J1015" s="72"/>
      <c r="K1015" s="36"/>
      <c r="L1015" s="79">
        <v>1015</v>
      </c>
      <c r="M1015" s="79"/>
      <c r="N1015" s="74"/>
      <c r="O1015" s="81" t="s">
        <v>1235</v>
      </c>
    </row>
    <row r="1016" spans="1:15" ht="15">
      <c r="A1016" s="66" t="s">
        <v>211</v>
      </c>
      <c r="B1016" s="66" t="s">
        <v>883</v>
      </c>
      <c r="C1016" s="67"/>
      <c r="D1016" s="68"/>
      <c r="E1016" s="69"/>
      <c r="F1016" s="70"/>
      <c r="G1016" s="67"/>
      <c r="H1016" s="71"/>
      <c r="I1016" s="72"/>
      <c r="J1016" s="72"/>
      <c r="K1016" s="36"/>
      <c r="L1016" s="79">
        <v>1016</v>
      </c>
      <c r="M1016" s="79"/>
      <c r="N1016" s="74"/>
      <c r="O1016" s="81" t="s">
        <v>1235</v>
      </c>
    </row>
    <row r="1017" spans="1:15" ht="15">
      <c r="A1017" s="66" t="s">
        <v>211</v>
      </c>
      <c r="B1017" s="66" t="s">
        <v>884</v>
      </c>
      <c r="C1017" s="67"/>
      <c r="D1017" s="68"/>
      <c r="E1017" s="69"/>
      <c r="F1017" s="70"/>
      <c r="G1017" s="67"/>
      <c r="H1017" s="71"/>
      <c r="I1017" s="72"/>
      <c r="J1017" s="72"/>
      <c r="K1017" s="36"/>
      <c r="L1017" s="79">
        <v>1017</v>
      </c>
      <c r="M1017" s="79"/>
      <c r="N1017" s="74"/>
      <c r="O1017" s="81" t="s">
        <v>1235</v>
      </c>
    </row>
    <row r="1018" spans="1:15" ht="15">
      <c r="A1018" s="66" t="s">
        <v>211</v>
      </c>
      <c r="B1018" s="66" t="s">
        <v>885</v>
      </c>
      <c r="C1018" s="67"/>
      <c r="D1018" s="68"/>
      <c r="E1018" s="69"/>
      <c r="F1018" s="70"/>
      <c r="G1018" s="67"/>
      <c r="H1018" s="71"/>
      <c r="I1018" s="72"/>
      <c r="J1018" s="72"/>
      <c r="K1018" s="36"/>
      <c r="L1018" s="79">
        <v>1018</v>
      </c>
      <c r="M1018" s="79"/>
      <c r="N1018" s="74"/>
      <c r="O1018" s="81" t="s">
        <v>1235</v>
      </c>
    </row>
    <row r="1019" spans="1:15" ht="15">
      <c r="A1019" s="66" t="s">
        <v>211</v>
      </c>
      <c r="B1019" s="66" t="s">
        <v>886</v>
      </c>
      <c r="C1019" s="67"/>
      <c r="D1019" s="68"/>
      <c r="E1019" s="69"/>
      <c r="F1019" s="70"/>
      <c r="G1019" s="67"/>
      <c r="H1019" s="71"/>
      <c r="I1019" s="72"/>
      <c r="J1019" s="72"/>
      <c r="K1019" s="36"/>
      <c r="L1019" s="79">
        <v>1019</v>
      </c>
      <c r="M1019" s="79"/>
      <c r="N1019" s="74"/>
      <c r="O1019" s="81" t="s">
        <v>1235</v>
      </c>
    </row>
    <row r="1020" spans="1:15" ht="15">
      <c r="A1020" s="66" t="s">
        <v>211</v>
      </c>
      <c r="B1020" s="66" t="s">
        <v>887</v>
      </c>
      <c r="C1020" s="67"/>
      <c r="D1020" s="68"/>
      <c r="E1020" s="69"/>
      <c r="F1020" s="70"/>
      <c r="G1020" s="67"/>
      <c r="H1020" s="71"/>
      <c r="I1020" s="72"/>
      <c r="J1020" s="72"/>
      <c r="K1020" s="36"/>
      <c r="L1020" s="79">
        <v>1020</v>
      </c>
      <c r="M1020" s="79"/>
      <c r="N1020" s="74"/>
      <c r="O1020" s="81" t="s">
        <v>1235</v>
      </c>
    </row>
    <row r="1021" spans="1:15" ht="15">
      <c r="A1021" s="66" t="s">
        <v>212</v>
      </c>
      <c r="B1021" s="66" t="s">
        <v>888</v>
      </c>
      <c r="C1021" s="67"/>
      <c r="D1021" s="68"/>
      <c r="E1021" s="69"/>
      <c r="F1021" s="70"/>
      <c r="G1021" s="67"/>
      <c r="H1021" s="71"/>
      <c r="I1021" s="72"/>
      <c r="J1021" s="72"/>
      <c r="K1021" s="36"/>
      <c r="L1021" s="79">
        <v>1021</v>
      </c>
      <c r="M1021" s="79"/>
      <c r="N1021" s="74"/>
      <c r="O1021" s="81" t="s">
        <v>1235</v>
      </c>
    </row>
    <row r="1022" spans="1:15" ht="15">
      <c r="A1022" s="66" t="s">
        <v>212</v>
      </c>
      <c r="B1022" s="66" t="s">
        <v>672</v>
      </c>
      <c r="C1022" s="67"/>
      <c r="D1022" s="68"/>
      <c r="E1022" s="69"/>
      <c r="F1022" s="70"/>
      <c r="G1022" s="67"/>
      <c r="H1022" s="71"/>
      <c r="I1022" s="72"/>
      <c r="J1022" s="72"/>
      <c r="K1022" s="36"/>
      <c r="L1022" s="79">
        <v>1022</v>
      </c>
      <c r="M1022" s="79"/>
      <c r="N1022" s="74"/>
      <c r="O1022" s="81" t="s">
        <v>1235</v>
      </c>
    </row>
    <row r="1023" spans="1:15" ht="15">
      <c r="A1023" s="66" t="s">
        <v>212</v>
      </c>
      <c r="B1023" s="66" t="s">
        <v>673</v>
      </c>
      <c r="C1023" s="67"/>
      <c r="D1023" s="68"/>
      <c r="E1023" s="69"/>
      <c r="F1023" s="70"/>
      <c r="G1023" s="67"/>
      <c r="H1023" s="71"/>
      <c r="I1023" s="72"/>
      <c r="J1023" s="72"/>
      <c r="K1023" s="36"/>
      <c r="L1023" s="79">
        <v>1023</v>
      </c>
      <c r="M1023" s="79"/>
      <c r="N1023" s="74"/>
      <c r="O1023" s="81" t="s">
        <v>1235</v>
      </c>
    </row>
    <row r="1024" spans="1:15" ht="15">
      <c r="A1024" s="66" t="s">
        <v>212</v>
      </c>
      <c r="B1024" s="66" t="s">
        <v>676</v>
      </c>
      <c r="C1024" s="67"/>
      <c r="D1024" s="68"/>
      <c r="E1024" s="69"/>
      <c r="F1024" s="70"/>
      <c r="G1024" s="67"/>
      <c r="H1024" s="71"/>
      <c r="I1024" s="72"/>
      <c r="J1024" s="72"/>
      <c r="K1024" s="36"/>
      <c r="L1024" s="79">
        <v>1024</v>
      </c>
      <c r="M1024" s="79"/>
      <c r="N1024" s="74"/>
      <c r="O1024" s="81" t="s">
        <v>1235</v>
      </c>
    </row>
    <row r="1025" spans="1:15" ht="15">
      <c r="A1025" s="66" t="s">
        <v>212</v>
      </c>
      <c r="B1025" s="66" t="s">
        <v>674</v>
      </c>
      <c r="C1025" s="67"/>
      <c r="D1025" s="68"/>
      <c r="E1025" s="69"/>
      <c r="F1025" s="70"/>
      <c r="G1025" s="67"/>
      <c r="H1025" s="71"/>
      <c r="I1025" s="72"/>
      <c r="J1025" s="72"/>
      <c r="K1025" s="36"/>
      <c r="L1025" s="79">
        <v>1025</v>
      </c>
      <c r="M1025" s="79"/>
      <c r="N1025" s="74"/>
      <c r="O1025" s="81" t="s">
        <v>1235</v>
      </c>
    </row>
    <row r="1026" spans="1:15" ht="15">
      <c r="A1026" s="66" t="s">
        <v>212</v>
      </c>
      <c r="B1026" s="66" t="s">
        <v>687</v>
      </c>
      <c r="C1026" s="67"/>
      <c r="D1026" s="68"/>
      <c r="E1026" s="69"/>
      <c r="F1026" s="70"/>
      <c r="G1026" s="67"/>
      <c r="H1026" s="71"/>
      <c r="I1026" s="72"/>
      <c r="J1026" s="72"/>
      <c r="K1026" s="36"/>
      <c r="L1026" s="79">
        <v>1026</v>
      </c>
      <c r="M1026" s="79"/>
      <c r="N1026" s="74"/>
      <c r="O1026" s="81" t="s">
        <v>1235</v>
      </c>
    </row>
    <row r="1027" spans="1:15" ht="15">
      <c r="A1027" s="66" t="s">
        <v>212</v>
      </c>
      <c r="B1027" s="66" t="s">
        <v>675</v>
      </c>
      <c r="C1027" s="67"/>
      <c r="D1027" s="68"/>
      <c r="E1027" s="69"/>
      <c r="F1027" s="70"/>
      <c r="G1027" s="67"/>
      <c r="H1027" s="71"/>
      <c r="I1027" s="72"/>
      <c r="J1027" s="72"/>
      <c r="K1027" s="36"/>
      <c r="L1027" s="79">
        <v>1027</v>
      </c>
      <c r="M1027" s="79"/>
      <c r="N1027" s="74"/>
      <c r="O1027" s="81" t="s">
        <v>1235</v>
      </c>
    </row>
    <row r="1028" spans="1:15" ht="15">
      <c r="A1028" s="66" t="s">
        <v>212</v>
      </c>
      <c r="B1028" s="66" t="s">
        <v>678</v>
      </c>
      <c r="C1028" s="67"/>
      <c r="D1028" s="68"/>
      <c r="E1028" s="69"/>
      <c r="F1028" s="70"/>
      <c r="G1028" s="67"/>
      <c r="H1028" s="71"/>
      <c r="I1028" s="72"/>
      <c r="J1028" s="72"/>
      <c r="K1028" s="36"/>
      <c r="L1028" s="79">
        <v>1028</v>
      </c>
      <c r="M1028" s="79"/>
      <c r="N1028" s="74"/>
      <c r="O1028" s="81" t="s">
        <v>1235</v>
      </c>
    </row>
    <row r="1029" spans="1:15" ht="15">
      <c r="A1029" s="66" t="s">
        <v>212</v>
      </c>
      <c r="B1029" s="66" t="s">
        <v>677</v>
      </c>
      <c r="C1029" s="67"/>
      <c r="D1029" s="68"/>
      <c r="E1029" s="69"/>
      <c r="F1029" s="70"/>
      <c r="G1029" s="67"/>
      <c r="H1029" s="71"/>
      <c r="I1029" s="72"/>
      <c r="J1029" s="72"/>
      <c r="K1029" s="36"/>
      <c r="L1029" s="79">
        <v>1029</v>
      </c>
      <c r="M1029" s="79"/>
      <c r="N1029" s="74"/>
      <c r="O1029" s="81" t="s">
        <v>1235</v>
      </c>
    </row>
    <row r="1030" spans="1:15" ht="15">
      <c r="A1030" s="66" t="s">
        <v>212</v>
      </c>
      <c r="B1030" s="66" t="s">
        <v>679</v>
      </c>
      <c r="C1030" s="67"/>
      <c r="D1030" s="68"/>
      <c r="E1030" s="69"/>
      <c r="F1030" s="70"/>
      <c r="G1030" s="67"/>
      <c r="H1030" s="71"/>
      <c r="I1030" s="72"/>
      <c r="J1030" s="72"/>
      <c r="K1030" s="36"/>
      <c r="L1030" s="79">
        <v>1030</v>
      </c>
      <c r="M1030" s="79"/>
      <c r="N1030" s="74"/>
      <c r="O1030" s="81" t="s">
        <v>1235</v>
      </c>
    </row>
    <row r="1031" spans="1:15" ht="15">
      <c r="A1031" s="66" t="s">
        <v>212</v>
      </c>
      <c r="B1031" s="66" t="s">
        <v>680</v>
      </c>
      <c r="C1031" s="67"/>
      <c r="D1031" s="68"/>
      <c r="E1031" s="69"/>
      <c r="F1031" s="70"/>
      <c r="G1031" s="67"/>
      <c r="H1031" s="71"/>
      <c r="I1031" s="72"/>
      <c r="J1031" s="72"/>
      <c r="K1031" s="36"/>
      <c r="L1031" s="79">
        <v>1031</v>
      </c>
      <c r="M1031" s="79"/>
      <c r="N1031" s="74"/>
      <c r="O1031" s="81" t="s">
        <v>1235</v>
      </c>
    </row>
    <row r="1032" spans="1:15" ht="15">
      <c r="A1032" s="66" t="s">
        <v>212</v>
      </c>
      <c r="B1032" s="66" t="s">
        <v>683</v>
      </c>
      <c r="C1032" s="67"/>
      <c r="D1032" s="68"/>
      <c r="E1032" s="69"/>
      <c r="F1032" s="70"/>
      <c r="G1032" s="67"/>
      <c r="H1032" s="71"/>
      <c r="I1032" s="72"/>
      <c r="J1032" s="72"/>
      <c r="K1032" s="36"/>
      <c r="L1032" s="79">
        <v>1032</v>
      </c>
      <c r="M1032" s="79"/>
      <c r="N1032" s="74"/>
      <c r="O1032" s="81" t="s">
        <v>1235</v>
      </c>
    </row>
    <row r="1033" spans="1:15" ht="15">
      <c r="A1033" s="66" t="s">
        <v>212</v>
      </c>
      <c r="B1033" s="66" t="s">
        <v>681</v>
      </c>
      <c r="C1033" s="67"/>
      <c r="D1033" s="68"/>
      <c r="E1033" s="69"/>
      <c r="F1033" s="70"/>
      <c r="G1033" s="67"/>
      <c r="H1033" s="71"/>
      <c r="I1033" s="72"/>
      <c r="J1033" s="72"/>
      <c r="K1033" s="36"/>
      <c r="L1033" s="79">
        <v>1033</v>
      </c>
      <c r="M1033" s="79"/>
      <c r="N1033" s="74"/>
      <c r="O1033" s="81" t="s">
        <v>1235</v>
      </c>
    </row>
    <row r="1034" spans="1:15" ht="15">
      <c r="A1034" s="66" t="s">
        <v>212</v>
      </c>
      <c r="B1034" s="66" t="s">
        <v>685</v>
      </c>
      <c r="C1034" s="67"/>
      <c r="D1034" s="68"/>
      <c r="E1034" s="69"/>
      <c r="F1034" s="70"/>
      <c r="G1034" s="67"/>
      <c r="H1034" s="71"/>
      <c r="I1034" s="72"/>
      <c r="J1034" s="72"/>
      <c r="K1034" s="36"/>
      <c r="L1034" s="79">
        <v>1034</v>
      </c>
      <c r="M1034" s="79"/>
      <c r="N1034" s="74"/>
      <c r="O1034" s="81" t="s">
        <v>1235</v>
      </c>
    </row>
    <row r="1035" spans="1:15" ht="15">
      <c r="A1035" s="66" t="s">
        <v>212</v>
      </c>
      <c r="B1035" s="66" t="s">
        <v>684</v>
      </c>
      <c r="C1035" s="67"/>
      <c r="D1035" s="68"/>
      <c r="E1035" s="69"/>
      <c r="F1035" s="70"/>
      <c r="G1035" s="67"/>
      <c r="H1035" s="71"/>
      <c r="I1035" s="72"/>
      <c r="J1035" s="72"/>
      <c r="K1035" s="36"/>
      <c r="L1035" s="79">
        <v>1035</v>
      </c>
      <c r="M1035" s="79"/>
      <c r="N1035" s="74"/>
      <c r="O1035" s="81" t="s">
        <v>1235</v>
      </c>
    </row>
    <row r="1036" spans="1:15" ht="15">
      <c r="A1036" s="66" t="s">
        <v>212</v>
      </c>
      <c r="B1036" s="66" t="s">
        <v>682</v>
      </c>
      <c r="C1036" s="67"/>
      <c r="D1036" s="68"/>
      <c r="E1036" s="69"/>
      <c r="F1036" s="70"/>
      <c r="G1036" s="67"/>
      <c r="H1036" s="71"/>
      <c r="I1036" s="72"/>
      <c r="J1036" s="72"/>
      <c r="K1036" s="36"/>
      <c r="L1036" s="79">
        <v>1036</v>
      </c>
      <c r="M1036" s="79"/>
      <c r="N1036" s="74"/>
      <c r="O1036" s="81" t="s">
        <v>1235</v>
      </c>
    </row>
    <row r="1037" spans="1:15" ht="15">
      <c r="A1037" s="66" t="s">
        <v>179</v>
      </c>
      <c r="B1037" s="66" t="s">
        <v>688</v>
      </c>
      <c r="C1037" s="67"/>
      <c r="D1037" s="68"/>
      <c r="E1037" s="69"/>
      <c r="F1037" s="70"/>
      <c r="G1037" s="67"/>
      <c r="H1037" s="71"/>
      <c r="I1037" s="72"/>
      <c r="J1037" s="72"/>
      <c r="K1037" s="36"/>
      <c r="L1037" s="79">
        <v>1037</v>
      </c>
      <c r="M1037" s="79"/>
      <c r="N1037" s="74"/>
      <c r="O1037" s="81" t="s">
        <v>1235</v>
      </c>
    </row>
    <row r="1038" spans="1:15" ht="15">
      <c r="A1038" s="66" t="s">
        <v>212</v>
      </c>
      <c r="B1038" s="66" t="s">
        <v>688</v>
      </c>
      <c r="C1038" s="67"/>
      <c r="D1038" s="68"/>
      <c r="E1038" s="69"/>
      <c r="F1038" s="70"/>
      <c r="G1038" s="67"/>
      <c r="H1038" s="71"/>
      <c r="I1038" s="72"/>
      <c r="J1038" s="72"/>
      <c r="K1038" s="36"/>
      <c r="L1038" s="79">
        <v>1038</v>
      </c>
      <c r="M1038" s="79"/>
      <c r="N1038" s="74"/>
      <c r="O1038" s="81" t="s">
        <v>1235</v>
      </c>
    </row>
    <row r="1039" spans="1:15" ht="15">
      <c r="A1039" s="66" t="s">
        <v>212</v>
      </c>
      <c r="B1039" s="66" t="s">
        <v>686</v>
      </c>
      <c r="C1039" s="67"/>
      <c r="D1039" s="68"/>
      <c r="E1039" s="69"/>
      <c r="F1039" s="70"/>
      <c r="G1039" s="67"/>
      <c r="H1039" s="71"/>
      <c r="I1039" s="72"/>
      <c r="J1039" s="72"/>
      <c r="K1039" s="36"/>
      <c r="L1039" s="79">
        <v>1039</v>
      </c>
      <c r="M1039" s="79"/>
      <c r="N1039" s="74"/>
      <c r="O1039" s="81" t="s">
        <v>1235</v>
      </c>
    </row>
    <row r="1040" spans="1:15" ht="15">
      <c r="A1040" s="66" t="s">
        <v>213</v>
      </c>
      <c r="B1040" s="66" t="s">
        <v>889</v>
      </c>
      <c r="C1040" s="67"/>
      <c r="D1040" s="68"/>
      <c r="E1040" s="69"/>
      <c r="F1040" s="70"/>
      <c r="G1040" s="67"/>
      <c r="H1040" s="71"/>
      <c r="I1040" s="72"/>
      <c r="J1040" s="72"/>
      <c r="K1040" s="36"/>
      <c r="L1040" s="79">
        <v>1040</v>
      </c>
      <c r="M1040" s="79"/>
      <c r="N1040" s="74"/>
      <c r="O1040" s="81" t="s">
        <v>1235</v>
      </c>
    </row>
    <row r="1041" spans="1:15" ht="15">
      <c r="A1041" s="66" t="s">
        <v>213</v>
      </c>
      <c r="B1041" s="66" t="s">
        <v>226</v>
      </c>
      <c r="C1041" s="67"/>
      <c r="D1041" s="68"/>
      <c r="E1041" s="69"/>
      <c r="F1041" s="70"/>
      <c r="G1041" s="67"/>
      <c r="H1041" s="71"/>
      <c r="I1041" s="72"/>
      <c r="J1041" s="72"/>
      <c r="K1041" s="36"/>
      <c r="L1041" s="79">
        <v>1041</v>
      </c>
      <c r="M1041" s="79"/>
      <c r="N1041" s="74"/>
      <c r="O1041" s="81" t="s">
        <v>1235</v>
      </c>
    </row>
    <row r="1042" spans="1:15" ht="15">
      <c r="A1042" s="66" t="s">
        <v>213</v>
      </c>
      <c r="B1042" s="66" t="s">
        <v>214</v>
      </c>
      <c r="C1042" s="67"/>
      <c r="D1042" s="68"/>
      <c r="E1042" s="69"/>
      <c r="F1042" s="70"/>
      <c r="G1042" s="67"/>
      <c r="H1042" s="71"/>
      <c r="I1042" s="72"/>
      <c r="J1042" s="72"/>
      <c r="K1042" s="36"/>
      <c r="L1042" s="79">
        <v>1042</v>
      </c>
      <c r="M1042" s="79"/>
      <c r="N1042" s="74"/>
      <c r="O1042" s="81" t="s">
        <v>1235</v>
      </c>
    </row>
    <row r="1043" spans="1:15" ht="15">
      <c r="A1043" s="66" t="s">
        <v>213</v>
      </c>
      <c r="B1043" s="66" t="s">
        <v>223</v>
      </c>
      <c r="C1043" s="67"/>
      <c r="D1043" s="68"/>
      <c r="E1043" s="69"/>
      <c r="F1043" s="70"/>
      <c r="G1043" s="67"/>
      <c r="H1043" s="71"/>
      <c r="I1043" s="72"/>
      <c r="J1043" s="72"/>
      <c r="K1043" s="36"/>
      <c r="L1043" s="79">
        <v>1043</v>
      </c>
      <c r="M1043" s="79"/>
      <c r="N1043" s="74"/>
      <c r="O1043" s="81" t="s">
        <v>1235</v>
      </c>
    </row>
    <row r="1044" spans="1:15" ht="15">
      <c r="A1044" s="66" t="s">
        <v>213</v>
      </c>
      <c r="B1044" s="66" t="s">
        <v>225</v>
      </c>
      <c r="C1044" s="67"/>
      <c r="D1044" s="68"/>
      <c r="E1044" s="69"/>
      <c r="F1044" s="70"/>
      <c r="G1044" s="67"/>
      <c r="H1044" s="71"/>
      <c r="I1044" s="72"/>
      <c r="J1044" s="72"/>
      <c r="K1044" s="36"/>
      <c r="L1044" s="79">
        <v>1044</v>
      </c>
      <c r="M1044" s="79"/>
      <c r="N1044" s="74"/>
      <c r="O1044" s="81" t="s">
        <v>1235</v>
      </c>
    </row>
    <row r="1045" spans="1:15" ht="15">
      <c r="A1045" s="66" t="s">
        <v>213</v>
      </c>
      <c r="B1045" s="66" t="s">
        <v>345</v>
      </c>
      <c r="C1045" s="67"/>
      <c r="D1045" s="68"/>
      <c r="E1045" s="69"/>
      <c r="F1045" s="70"/>
      <c r="G1045" s="67"/>
      <c r="H1045" s="71"/>
      <c r="I1045" s="72"/>
      <c r="J1045" s="72"/>
      <c r="K1045" s="36"/>
      <c r="L1045" s="79">
        <v>1045</v>
      </c>
      <c r="M1045" s="79"/>
      <c r="N1045" s="74"/>
      <c r="O1045" s="81" t="s">
        <v>1235</v>
      </c>
    </row>
    <row r="1046" spans="1:15" ht="15">
      <c r="A1046" s="66" t="s">
        <v>213</v>
      </c>
      <c r="B1046" s="66" t="s">
        <v>221</v>
      </c>
      <c r="C1046" s="67"/>
      <c r="D1046" s="68"/>
      <c r="E1046" s="69"/>
      <c r="F1046" s="70"/>
      <c r="G1046" s="67"/>
      <c r="H1046" s="71"/>
      <c r="I1046" s="72"/>
      <c r="J1046" s="72"/>
      <c r="K1046" s="36"/>
      <c r="L1046" s="79">
        <v>1046</v>
      </c>
      <c r="M1046" s="79"/>
      <c r="N1046" s="74"/>
      <c r="O1046" s="81" t="s">
        <v>1235</v>
      </c>
    </row>
    <row r="1047" spans="1:15" ht="15">
      <c r="A1047" s="66" t="s">
        <v>213</v>
      </c>
      <c r="B1047" s="66" t="s">
        <v>651</v>
      </c>
      <c r="C1047" s="67"/>
      <c r="D1047" s="68"/>
      <c r="E1047" s="69"/>
      <c r="F1047" s="70"/>
      <c r="G1047" s="67"/>
      <c r="H1047" s="71"/>
      <c r="I1047" s="72"/>
      <c r="J1047" s="72"/>
      <c r="K1047" s="36"/>
      <c r="L1047" s="79">
        <v>1047</v>
      </c>
      <c r="M1047" s="79"/>
      <c r="N1047" s="74"/>
      <c r="O1047" s="81" t="s">
        <v>1235</v>
      </c>
    </row>
    <row r="1048" spans="1:15" ht="15">
      <c r="A1048" s="66" t="s">
        <v>213</v>
      </c>
      <c r="B1048" s="66" t="s">
        <v>219</v>
      </c>
      <c r="C1048" s="67"/>
      <c r="D1048" s="68"/>
      <c r="E1048" s="69"/>
      <c r="F1048" s="70"/>
      <c r="G1048" s="67"/>
      <c r="H1048" s="71"/>
      <c r="I1048" s="72"/>
      <c r="J1048" s="72"/>
      <c r="K1048" s="36"/>
      <c r="L1048" s="79">
        <v>1048</v>
      </c>
      <c r="M1048" s="79"/>
      <c r="N1048" s="74"/>
      <c r="O1048" s="81" t="s">
        <v>1235</v>
      </c>
    </row>
    <row r="1049" spans="1:15" ht="15">
      <c r="A1049" s="66" t="s">
        <v>213</v>
      </c>
      <c r="B1049" s="66" t="s">
        <v>349</v>
      </c>
      <c r="C1049" s="67"/>
      <c r="D1049" s="68"/>
      <c r="E1049" s="69"/>
      <c r="F1049" s="70"/>
      <c r="G1049" s="67"/>
      <c r="H1049" s="71"/>
      <c r="I1049" s="72"/>
      <c r="J1049" s="72"/>
      <c r="K1049" s="36"/>
      <c r="L1049" s="79">
        <v>1049</v>
      </c>
      <c r="M1049" s="79"/>
      <c r="N1049" s="74"/>
      <c r="O1049" s="81" t="s">
        <v>1235</v>
      </c>
    </row>
    <row r="1050" spans="1:15" ht="15">
      <c r="A1050" s="66" t="s">
        <v>190</v>
      </c>
      <c r="B1050" s="66" t="s">
        <v>890</v>
      </c>
      <c r="C1050" s="67"/>
      <c r="D1050" s="68"/>
      <c r="E1050" s="69"/>
      <c r="F1050" s="70"/>
      <c r="G1050" s="67"/>
      <c r="H1050" s="71"/>
      <c r="I1050" s="72"/>
      <c r="J1050" s="72"/>
      <c r="K1050" s="36"/>
      <c r="L1050" s="79">
        <v>1050</v>
      </c>
      <c r="M1050" s="79"/>
      <c r="N1050" s="74"/>
      <c r="O1050" s="81" t="s">
        <v>1235</v>
      </c>
    </row>
    <row r="1051" spans="1:15" ht="15">
      <c r="A1051" s="66" t="s">
        <v>214</v>
      </c>
      <c r="B1051" s="66" t="s">
        <v>890</v>
      </c>
      <c r="C1051" s="67"/>
      <c r="D1051" s="68"/>
      <c r="E1051" s="69"/>
      <c r="F1051" s="70"/>
      <c r="G1051" s="67"/>
      <c r="H1051" s="71"/>
      <c r="I1051" s="72"/>
      <c r="J1051" s="72"/>
      <c r="K1051" s="36"/>
      <c r="L1051" s="79">
        <v>1051</v>
      </c>
      <c r="M1051" s="79"/>
      <c r="N1051" s="74"/>
      <c r="O1051" s="81" t="s">
        <v>1235</v>
      </c>
    </row>
    <row r="1052" spans="1:15" ht="15">
      <c r="A1052" s="66" t="s">
        <v>214</v>
      </c>
      <c r="B1052" s="66" t="s">
        <v>891</v>
      </c>
      <c r="C1052" s="67"/>
      <c r="D1052" s="68"/>
      <c r="E1052" s="69"/>
      <c r="F1052" s="70"/>
      <c r="G1052" s="67"/>
      <c r="H1052" s="71"/>
      <c r="I1052" s="72"/>
      <c r="J1052" s="72"/>
      <c r="K1052" s="36"/>
      <c r="L1052" s="79">
        <v>1052</v>
      </c>
      <c r="M1052" s="79"/>
      <c r="N1052" s="74"/>
      <c r="O1052" s="81" t="s">
        <v>1235</v>
      </c>
    </row>
    <row r="1053" spans="1:15" ht="15">
      <c r="A1053" s="66" t="s">
        <v>214</v>
      </c>
      <c r="B1053" s="66" t="s">
        <v>892</v>
      </c>
      <c r="C1053" s="67"/>
      <c r="D1053" s="68"/>
      <c r="E1053" s="69"/>
      <c r="F1053" s="70"/>
      <c r="G1053" s="67"/>
      <c r="H1053" s="71"/>
      <c r="I1053" s="72"/>
      <c r="J1053" s="72"/>
      <c r="K1053" s="36"/>
      <c r="L1053" s="79">
        <v>1053</v>
      </c>
      <c r="M1053" s="79"/>
      <c r="N1053" s="74"/>
      <c r="O1053" s="81" t="s">
        <v>1235</v>
      </c>
    </row>
    <row r="1054" spans="1:15" ht="15">
      <c r="A1054" s="66" t="s">
        <v>214</v>
      </c>
      <c r="B1054" s="66" t="s">
        <v>893</v>
      </c>
      <c r="C1054" s="67"/>
      <c r="D1054" s="68"/>
      <c r="E1054" s="69"/>
      <c r="F1054" s="70"/>
      <c r="G1054" s="67"/>
      <c r="H1054" s="71"/>
      <c r="I1054" s="72"/>
      <c r="J1054" s="72"/>
      <c r="K1054" s="36"/>
      <c r="L1054" s="79">
        <v>1054</v>
      </c>
      <c r="M1054" s="79"/>
      <c r="N1054" s="74"/>
      <c r="O1054" s="81" t="s">
        <v>1235</v>
      </c>
    </row>
    <row r="1055" spans="1:15" ht="15">
      <c r="A1055" s="66" t="s">
        <v>214</v>
      </c>
      <c r="B1055" s="66" t="s">
        <v>894</v>
      </c>
      <c r="C1055" s="67"/>
      <c r="D1055" s="68"/>
      <c r="E1055" s="69"/>
      <c r="F1055" s="70"/>
      <c r="G1055" s="67"/>
      <c r="H1055" s="71"/>
      <c r="I1055" s="72"/>
      <c r="J1055" s="72"/>
      <c r="K1055" s="36"/>
      <c r="L1055" s="79">
        <v>1055</v>
      </c>
      <c r="M1055" s="79"/>
      <c r="N1055" s="74"/>
      <c r="O1055" s="81" t="s">
        <v>1235</v>
      </c>
    </row>
    <row r="1056" spans="1:15" ht="15">
      <c r="A1056" s="66" t="s">
        <v>214</v>
      </c>
      <c r="B1056" s="66" t="s">
        <v>895</v>
      </c>
      <c r="C1056" s="67"/>
      <c r="D1056" s="68"/>
      <c r="E1056" s="69"/>
      <c r="F1056" s="70"/>
      <c r="G1056" s="67"/>
      <c r="H1056" s="71"/>
      <c r="I1056" s="72"/>
      <c r="J1056" s="72"/>
      <c r="K1056" s="36"/>
      <c r="L1056" s="79">
        <v>1056</v>
      </c>
      <c r="M1056" s="79"/>
      <c r="N1056" s="74"/>
      <c r="O1056" s="81" t="s">
        <v>1235</v>
      </c>
    </row>
    <row r="1057" spans="1:15" ht="15">
      <c r="A1057" s="66" t="s">
        <v>214</v>
      </c>
      <c r="B1057" s="66" t="s">
        <v>896</v>
      </c>
      <c r="C1057" s="67"/>
      <c r="D1057" s="68"/>
      <c r="E1057" s="69"/>
      <c r="F1057" s="70"/>
      <c r="G1057" s="67"/>
      <c r="H1057" s="71"/>
      <c r="I1057" s="72"/>
      <c r="J1057" s="72"/>
      <c r="K1057" s="36"/>
      <c r="L1057" s="79">
        <v>1057</v>
      </c>
      <c r="M1057" s="79"/>
      <c r="N1057" s="74"/>
      <c r="O1057" s="81" t="s">
        <v>1235</v>
      </c>
    </row>
    <row r="1058" spans="1:15" ht="15">
      <c r="A1058" s="66" t="s">
        <v>214</v>
      </c>
      <c r="B1058" s="66" t="s">
        <v>897</v>
      </c>
      <c r="C1058" s="67"/>
      <c r="D1058" s="68"/>
      <c r="E1058" s="69"/>
      <c r="F1058" s="70"/>
      <c r="G1058" s="67"/>
      <c r="H1058" s="71"/>
      <c r="I1058" s="72"/>
      <c r="J1058" s="72"/>
      <c r="K1058" s="36"/>
      <c r="L1058" s="79">
        <v>1058</v>
      </c>
      <c r="M1058" s="79"/>
      <c r="N1058" s="74"/>
      <c r="O1058" s="81" t="s">
        <v>1235</v>
      </c>
    </row>
    <row r="1059" spans="1:15" ht="15">
      <c r="A1059" s="66" t="s">
        <v>214</v>
      </c>
      <c r="B1059" s="66" t="s">
        <v>898</v>
      </c>
      <c r="C1059" s="67"/>
      <c r="D1059" s="68"/>
      <c r="E1059" s="69"/>
      <c r="F1059" s="70"/>
      <c r="G1059" s="67"/>
      <c r="H1059" s="71"/>
      <c r="I1059" s="72"/>
      <c r="J1059" s="72"/>
      <c r="K1059" s="36"/>
      <c r="L1059" s="79">
        <v>1059</v>
      </c>
      <c r="M1059" s="79"/>
      <c r="N1059" s="74"/>
      <c r="O1059" s="81" t="s">
        <v>1235</v>
      </c>
    </row>
    <row r="1060" spans="1:15" ht="15">
      <c r="A1060" s="66" t="s">
        <v>179</v>
      </c>
      <c r="B1060" s="66" t="s">
        <v>190</v>
      </c>
      <c r="C1060" s="67"/>
      <c r="D1060" s="68"/>
      <c r="E1060" s="69"/>
      <c r="F1060" s="70"/>
      <c r="G1060" s="67"/>
      <c r="H1060" s="71"/>
      <c r="I1060" s="72"/>
      <c r="J1060" s="72"/>
      <c r="K1060" s="36"/>
      <c r="L1060" s="79">
        <v>1060</v>
      </c>
      <c r="M1060" s="79"/>
      <c r="N1060" s="74"/>
      <c r="O1060" s="81" t="s">
        <v>1235</v>
      </c>
    </row>
    <row r="1061" spans="1:15" ht="15">
      <c r="A1061" s="66" t="s">
        <v>188</v>
      </c>
      <c r="B1061" s="66" t="s">
        <v>190</v>
      </c>
      <c r="C1061" s="67"/>
      <c r="D1061" s="68"/>
      <c r="E1061" s="69"/>
      <c r="F1061" s="70"/>
      <c r="G1061" s="67"/>
      <c r="H1061" s="71"/>
      <c r="I1061" s="72"/>
      <c r="J1061" s="72"/>
      <c r="K1061" s="36"/>
      <c r="L1061" s="79">
        <v>1061</v>
      </c>
      <c r="M1061" s="79"/>
      <c r="N1061" s="74"/>
      <c r="O1061" s="81" t="s">
        <v>1235</v>
      </c>
    </row>
    <row r="1062" spans="1:15" ht="15">
      <c r="A1062" s="66" t="s">
        <v>190</v>
      </c>
      <c r="B1062" s="66" t="s">
        <v>899</v>
      </c>
      <c r="C1062" s="67"/>
      <c r="D1062" s="68"/>
      <c r="E1062" s="69"/>
      <c r="F1062" s="70"/>
      <c r="G1062" s="67"/>
      <c r="H1062" s="71"/>
      <c r="I1062" s="72"/>
      <c r="J1062" s="72"/>
      <c r="K1062" s="36"/>
      <c r="L1062" s="79">
        <v>1062</v>
      </c>
      <c r="M1062" s="79"/>
      <c r="N1062" s="74"/>
      <c r="O1062" s="81" t="s">
        <v>1235</v>
      </c>
    </row>
    <row r="1063" spans="1:15" ht="15">
      <c r="A1063" s="66" t="s">
        <v>190</v>
      </c>
      <c r="B1063" s="66" t="s">
        <v>294</v>
      </c>
      <c r="C1063" s="67"/>
      <c r="D1063" s="68"/>
      <c r="E1063" s="69"/>
      <c r="F1063" s="70"/>
      <c r="G1063" s="67"/>
      <c r="H1063" s="71"/>
      <c r="I1063" s="72"/>
      <c r="J1063" s="72"/>
      <c r="K1063" s="36"/>
      <c r="L1063" s="79">
        <v>1063</v>
      </c>
      <c r="M1063" s="79"/>
      <c r="N1063" s="74"/>
      <c r="O1063" s="81" t="s">
        <v>1235</v>
      </c>
    </row>
    <row r="1064" spans="1:15" ht="15">
      <c r="A1064" s="66" t="s">
        <v>190</v>
      </c>
      <c r="B1064" s="66" t="s">
        <v>223</v>
      </c>
      <c r="C1064" s="67"/>
      <c r="D1064" s="68"/>
      <c r="E1064" s="69"/>
      <c r="F1064" s="70"/>
      <c r="G1064" s="67"/>
      <c r="H1064" s="71"/>
      <c r="I1064" s="72"/>
      <c r="J1064" s="72"/>
      <c r="K1064" s="36"/>
      <c r="L1064" s="79">
        <v>1064</v>
      </c>
      <c r="M1064" s="79"/>
      <c r="N1064" s="74"/>
      <c r="O1064" s="81" t="s">
        <v>1235</v>
      </c>
    </row>
    <row r="1065" spans="1:15" ht="15">
      <c r="A1065" s="66" t="s">
        <v>190</v>
      </c>
      <c r="B1065" s="66" t="s">
        <v>215</v>
      </c>
      <c r="C1065" s="67"/>
      <c r="D1065" s="68"/>
      <c r="E1065" s="69"/>
      <c r="F1065" s="70"/>
      <c r="G1065" s="67"/>
      <c r="H1065" s="71"/>
      <c r="I1065" s="72"/>
      <c r="J1065" s="72"/>
      <c r="K1065" s="36"/>
      <c r="L1065" s="79">
        <v>1065</v>
      </c>
      <c r="M1065" s="79"/>
      <c r="N1065" s="74"/>
      <c r="O1065" s="81" t="s">
        <v>1235</v>
      </c>
    </row>
    <row r="1066" spans="1:15" ht="15">
      <c r="A1066" s="66" t="s">
        <v>190</v>
      </c>
      <c r="B1066" s="66" t="s">
        <v>225</v>
      </c>
      <c r="C1066" s="67"/>
      <c r="D1066" s="68"/>
      <c r="E1066" s="69"/>
      <c r="F1066" s="70"/>
      <c r="G1066" s="67"/>
      <c r="H1066" s="71"/>
      <c r="I1066" s="72"/>
      <c r="J1066" s="72"/>
      <c r="K1066" s="36"/>
      <c r="L1066" s="79">
        <v>1066</v>
      </c>
      <c r="M1066" s="79"/>
      <c r="N1066" s="74"/>
      <c r="O1066" s="81" t="s">
        <v>1235</v>
      </c>
    </row>
    <row r="1067" spans="1:15" ht="15">
      <c r="A1067" s="66" t="s">
        <v>190</v>
      </c>
      <c r="B1067" s="66" t="s">
        <v>526</v>
      </c>
      <c r="C1067" s="67"/>
      <c r="D1067" s="68"/>
      <c r="E1067" s="69"/>
      <c r="F1067" s="70"/>
      <c r="G1067" s="67"/>
      <c r="H1067" s="71"/>
      <c r="I1067" s="72"/>
      <c r="J1067" s="72"/>
      <c r="K1067" s="36"/>
      <c r="L1067" s="79">
        <v>1067</v>
      </c>
      <c r="M1067" s="79"/>
      <c r="N1067" s="74"/>
      <c r="O1067" s="81" t="s">
        <v>1235</v>
      </c>
    </row>
    <row r="1068" spans="1:15" ht="15">
      <c r="A1068" s="66" t="s">
        <v>190</v>
      </c>
      <c r="B1068" s="66" t="s">
        <v>566</v>
      </c>
      <c r="C1068" s="67"/>
      <c r="D1068" s="68"/>
      <c r="E1068" s="69"/>
      <c r="F1068" s="70"/>
      <c r="G1068" s="67"/>
      <c r="H1068" s="71"/>
      <c r="I1068" s="72"/>
      <c r="J1068" s="72"/>
      <c r="K1068" s="36"/>
      <c r="L1068" s="79">
        <v>1068</v>
      </c>
      <c r="M1068" s="79"/>
      <c r="N1068" s="74"/>
      <c r="O1068" s="81" t="s">
        <v>1235</v>
      </c>
    </row>
    <row r="1069" spans="1:15" ht="15">
      <c r="A1069" s="66" t="s">
        <v>190</v>
      </c>
      <c r="B1069" s="66" t="s">
        <v>900</v>
      </c>
      <c r="C1069" s="67"/>
      <c r="D1069" s="68"/>
      <c r="E1069" s="69"/>
      <c r="F1069" s="70"/>
      <c r="G1069" s="67"/>
      <c r="H1069" s="71"/>
      <c r="I1069" s="72"/>
      <c r="J1069" s="72"/>
      <c r="K1069" s="36"/>
      <c r="L1069" s="79">
        <v>1069</v>
      </c>
      <c r="M1069" s="79"/>
      <c r="N1069" s="74"/>
      <c r="O1069" s="81" t="s">
        <v>1235</v>
      </c>
    </row>
    <row r="1070" spans="1:15" ht="15">
      <c r="A1070" s="66" t="s">
        <v>190</v>
      </c>
      <c r="B1070" s="66" t="s">
        <v>179</v>
      </c>
      <c r="C1070" s="67"/>
      <c r="D1070" s="68"/>
      <c r="E1070" s="69"/>
      <c r="F1070" s="70"/>
      <c r="G1070" s="67"/>
      <c r="H1070" s="71"/>
      <c r="I1070" s="72"/>
      <c r="J1070" s="72"/>
      <c r="K1070" s="36"/>
      <c r="L1070" s="79">
        <v>1070</v>
      </c>
      <c r="M1070" s="79"/>
      <c r="N1070" s="74"/>
      <c r="O1070" s="81" t="s">
        <v>1235</v>
      </c>
    </row>
    <row r="1071" spans="1:15" ht="15">
      <c r="A1071" s="66" t="s">
        <v>190</v>
      </c>
      <c r="B1071" s="66" t="s">
        <v>471</v>
      </c>
      <c r="C1071" s="67"/>
      <c r="D1071" s="68"/>
      <c r="E1071" s="69"/>
      <c r="F1071" s="70"/>
      <c r="G1071" s="67"/>
      <c r="H1071" s="71"/>
      <c r="I1071" s="72"/>
      <c r="J1071" s="72"/>
      <c r="K1071" s="36"/>
      <c r="L1071" s="79">
        <v>1071</v>
      </c>
      <c r="M1071" s="79"/>
      <c r="N1071" s="74"/>
      <c r="O1071" s="81" t="s">
        <v>1235</v>
      </c>
    </row>
    <row r="1072" spans="1:15" ht="15">
      <c r="A1072" s="66" t="s">
        <v>190</v>
      </c>
      <c r="B1072" s="66" t="s">
        <v>206</v>
      </c>
      <c r="C1072" s="67"/>
      <c r="D1072" s="68"/>
      <c r="E1072" s="69"/>
      <c r="F1072" s="70"/>
      <c r="G1072" s="67"/>
      <c r="H1072" s="71"/>
      <c r="I1072" s="72"/>
      <c r="J1072" s="72"/>
      <c r="K1072" s="36"/>
      <c r="L1072" s="79">
        <v>1072</v>
      </c>
      <c r="M1072" s="79"/>
      <c r="N1072" s="74"/>
      <c r="O1072" s="81" t="s">
        <v>1235</v>
      </c>
    </row>
    <row r="1073" spans="1:15" ht="15">
      <c r="A1073" s="66" t="s">
        <v>190</v>
      </c>
      <c r="B1073" s="66" t="s">
        <v>286</v>
      </c>
      <c r="C1073" s="67"/>
      <c r="D1073" s="68"/>
      <c r="E1073" s="69"/>
      <c r="F1073" s="70"/>
      <c r="G1073" s="67"/>
      <c r="H1073" s="71"/>
      <c r="I1073" s="72"/>
      <c r="J1073" s="72"/>
      <c r="K1073" s="36"/>
      <c r="L1073" s="79">
        <v>1073</v>
      </c>
      <c r="M1073" s="79"/>
      <c r="N1073" s="74"/>
      <c r="O1073" s="81" t="s">
        <v>1235</v>
      </c>
    </row>
    <row r="1074" spans="1:15" ht="15">
      <c r="A1074" s="66" t="s">
        <v>190</v>
      </c>
      <c r="B1074" s="66" t="s">
        <v>649</v>
      </c>
      <c r="C1074" s="67"/>
      <c r="D1074" s="68"/>
      <c r="E1074" s="69"/>
      <c r="F1074" s="70"/>
      <c r="G1074" s="67"/>
      <c r="H1074" s="71"/>
      <c r="I1074" s="72"/>
      <c r="J1074" s="72"/>
      <c r="K1074" s="36"/>
      <c r="L1074" s="79">
        <v>1074</v>
      </c>
      <c r="M1074" s="79"/>
      <c r="N1074" s="74"/>
      <c r="O1074" s="81" t="s">
        <v>1235</v>
      </c>
    </row>
    <row r="1075" spans="1:15" ht="15">
      <c r="A1075" s="66" t="s">
        <v>190</v>
      </c>
      <c r="B1075" s="66" t="s">
        <v>652</v>
      </c>
      <c r="C1075" s="67"/>
      <c r="D1075" s="68"/>
      <c r="E1075" s="69"/>
      <c r="F1075" s="70"/>
      <c r="G1075" s="67"/>
      <c r="H1075" s="71"/>
      <c r="I1075" s="72"/>
      <c r="J1075" s="72"/>
      <c r="K1075" s="36"/>
      <c r="L1075" s="79">
        <v>1075</v>
      </c>
      <c r="M1075" s="79"/>
      <c r="N1075" s="74"/>
      <c r="O1075" s="81" t="s">
        <v>1235</v>
      </c>
    </row>
    <row r="1076" spans="1:15" ht="15">
      <c r="A1076" s="66" t="s">
        <v>190</v>
      </c>
      <c r="B1076" s="66" t="s">
        <v>220</v>
      </c>
      <c r="C1076" s="67"/>
      <c r="D1076" s="68"/>
      <c r="E1076" s="69"/>
      <c r="F1076" s="70"/>
      <c r="G1076" s="67"/>
      <c r="H1076" s="71"/>
      <c r="I1076" s="72"/>
      <c r="J1076" s="72"/>
      <c r="K1076" s="36"/>
      <c r="L1076" s="79">
        <v>1076</v>
      </c>
      <c r="M1076" s="79"/>
      <c r="N1076" s="74"/>
      <c r="O1076" s="81" t="s">
        <v>1235</v>
      </c>
    </row>
    <row r="1077" spans="1:15" ht="15">
      <c r="A1077" s="66" t="s">
        <v>190</v>
      </c>
      <c r="B1077" s="66" t="s">
        <v>227</v>
      </c>
      <c r="C1077" s="67"/>
      <c r="D1077" s="68"/>
      <c r="E1077" s="69"/>
      <c r="F1077" s="70"/>
      <c r="G1077" s="67"/>
      <c r="H1077" s="71"/>
      <c r="I1077" s="72"/>
      <c r="J1077" s="72"/>
      <c r="K1077" s="36"/>
      <c r="L1077" s="79">
        <v>1077</v>
      </c>
      <c r="M1077" s="79"/>
      <c r="N1077" s="74"/>
      <c r="O1077" s="81" t="s">
        <v>1235</v>
      </c>
    </row>
    <row r="1078" spans="1:15" ht="15">
      <c r="A1078" s="66" t="s">
        <v>190</v>
      </c>
      <c r="B1078" s="66" t="s">
        <v>218</v>
      </c>
      <c r="C1078" s="67"/>
      <c r="D1078" s="68"/>
      <c r="E1078" s="69"/>
      <c r="F1078" s="70"/>
      <c r="G1078" s="67"/>
      <c r="H1078" s="71"/>
      <c r="I1078" s="72"/>
      <c r="J1078" s="72"/>
      <c r="K1078" s="36"/>
      <c r="L1078" s="79">
        <v>1078</v>
      </c>
      <c r="M1078" s="79"/>
      <c r="N1078" s="74"/>
      <c r="O1078" s="81" t="s">
        <v>1235</v>
      </c>
    </row>
    <row r="1079" spans="1:15" ht="15">
      <c r="A1079" s="66" t="s">
        <v>190</v>
      </c>
      <c r="B1079" s="66" t="s">
        <v>188</v>
      </c>
      <c r="C1079" s="67"/>
      <c r="D1079" s="68"/>
      <c r="E1079" s="69"/>
      <c r="F1079" s="70"/>
      <c r="G1079" s="67"/>
      <c r="H1079" s="71"/>
      <c r="I1079" s="72"/>
      <c r="J1079" s="72"/>
      <c r="K1079" s="36"/>
      <c r="L1079" s="79">
        <v>1079</v>
      </c>
      <c r="M1079" s="79"/>
      <c r="N1079" s="74"/>
      <c r="O1079" s="81" t="s">
        <v>1235</v>
      </c>
    </row>
    <row r="1080" spans="1:15" ht="15">
      <c r="A1080" s="66" t="s">
        <v>190</v>
      </c>
      <c r="B1080" s="66" t="s">
        <v>224</v>
      </c>
      <c r="C1080" s="67"/>
      <c r="D1080" s="68"/>
      <c r="E1080" s="69"/>
      <c r="F1080" s="70"/>
      <c r="G1080" s="67"/>
      <c r="H1080" s="71"/>
      <c r="I1080" s="72"/>
      <c r="J1080" s="72"/>
      <c r="K1080" s="36"/>
      <c r="L1080" s="79">
        <v>1080</v>
      </c>
      <c r="M1080" s="79"/>
      <c r="N1080" s="74"/>
      <c r="O1080" s="81" t="s">
        <v>1235</v>
      </c>
    </row>
    <row r="1081" spans="1:15" ht="15">
      <c r="A1081" s="66" t="s">
        <v>193</v>
      </c>
      <c r="B1081" s="66" t="s">
        <v>190</v>
      </c>
      <c r="C1081" s="67"/>
      <c r="D1081" s="68"/>
      <c r="E1081" s="69"/>
      <c r="F1081" s="70"/>
      <c r="G1081" s="67"/>
      <c r="H1081" s="71"/>
      <c r="I1081" s="72"/>
      <c r="J1081" s="72"/>
      <c r="K1081" s="36"/>
      <c r="L1081" s="79">
        <v>1081</v>
      </c>
      <c r="M1081" s="79"/>
      <c r="N1081" s="74"/>
      <c r="O1081" s="81" t="s">
        <v>1235</v>
      </c>
    </row>
    <row r="1082" spans="1:15" ht="15">
      <c r="A1082" s="66" t="s">
        <v>214</v>
      </c>
      <c r="B1082" s="66" t="s">
        <v>190</v>
      </c>
      <c r="C1082" s="67"/>
      <c r="D1082" s="68"/>
      <c r="E1082" s="69"/>
      <c r="F1082" s="70"/>
      <c r="G1082" s="67"/>
      <c r="H1082" s="71"/>
      <c r="I1082" s="72"/>
      <c r="J1082" s="72"/>
      <c r="K1082" s="36"/>
      <c r="L1082" s="79">
        <v>1082</v>
      </c>
      <c r="M1082" s="79"/>
      <c r="N1082" s="74"/>
      <c r="O1082" s="81" t="s">
        <v>1235</v>
      </c>
    </row>
    <row r="1083" spans="1:15" ht="15">
      <c r="A1083" s="66" t="s">
        <v>214</v>
      </c>
      <c r="B1083" s="66" t="s">
        <v>691</v>
      </c>
      <c r="C1083" s="67"/>
      <c r="D1083" s="68"/>
      <c r="E1083" s="69"/>
      <c r="F1083" s="70"/>
      <c r="G1083" s="67"/>
      <c r="H1083" s="71"/>
      <c r="I1083" s="72"/>
      <c r="J1083" s="72"/>
      <c r="K1083" s="36"/>
      <c r="L1083" s="79">
        <v>1083</v>
      </c>
      <c r="M1083" s="79"/>
      <c r="N1083" s="74"/>
      <c r="O1083" s="81" t="s">
        <v>1235</v>
      </c>
    </row>
    <row r="1084" spans="1:15" ht="15">
      <c r="A1084" s="66" t="s">
        <v>214</v>
      </c>
      <c r="B1084" s="66" t="s">
        <v>901</v>
      </c>
      <c r="C1084" s="67"/>
      <c r="D1084" s="68"/>
      <c r="E1084" s="69"/>
      <c r="F1084" s="70"/>
      <c r="G1084" s="67"/>
      <c r="H1084" s="71"/>
      <c r="I1084" s="72"/>
      <c r="J1084" s="72"/>
      <c r="K1084" s="36"/>
      <c r="L1084" s="79">
        <v>1084</v>
      </c>
      <c r="M1084" s="79"/>
      <c r="N1084" s="74"/>
      <c r="O1084" s="81" t="s">
        <v>1235</v>
      </c>
    </row>
    <row r="1085" spans="1:15" ht="15">
      <c r="A1085" s="66" t="s">
        <v>214</v>
      </c>
      <c r="B1085" s="66" t="s">
        <v>606</v>
      </c>
      <c r="C1085" s="67"/>
      <c r="D1085" s="68"/>
      <c r="E1085" s="69"/>
      <c r="F1085" s="70"/>
      <c r="G1085" s="67"/>
      <c r="H1085" s="71"/>
      <c r="I1085" s="72"/>
      <c r="J1085" s="72"/>
      <c r="K1085" s="36"/>
      <c r="L1085" s="79">
        <v>1085</v>
      </c>
      <c r="M1085" s="79"/>
      <c r="N1085" s="74"/>
      <c r="O1085" s="81" t="s">
        <v>1235</v>
      </c>
    </row>
    <row r="1086" spans="1:15" ht="15">
      <c r="A1086" s="66" t="s">
        <v>214</v>
      </c>
      <c r="B1086" s="66" t="s">
        <v>902</v>
      </c>
      <c r="C1086" s="67"/>
      <c r="D1086" s="68"/>
      <c r="E1086" s="69"/>
      <c r="F1086" s="70"/>
      <c r="G1086" s="67"/>
      <c r="H1086" s="71"/>
      <c r="I1086" s="72"/>
      <c r="J1086" s="72"/>
      <c r="K1086" s="36"/>
      <c r="L1086" s="79">
        <v>1086</v>
      </c>
      <c r="M1086" s="79"/>
      <c r="N1086" s="74"/>
      <c r="O1086" s="81" t="s">
        <v>1235</v>
      </c>
    </row>
    <row r="1087" spans="1:15" ht="15">
      <c r="A1087" s="66" t="s">
        <v>214</v>
      </c>
      <c r="B1087" s="66" t="s">
        <v>903</v>
      </c>
      <c r="C1087" s="67"/>
      <c r="D1087" s="68"/>
      <c r="E1087" s="69"/>
      <c r="F1087" s="70"/>
      <c r="G1087" s="67"/>
      <c r="H1087" s="71"/>
      <c r="I1087" s="72"/>
      <c r="J1087" s="72"/>
      <c r="K1087" s="36"/>
      <c r="L1087" s="79">
        <v>1087</v>
      </c>
      <c r="M1087" s="79"/>
      <c r="N1087" s="74"/>
      <c r="O1087" s="81" t="s">
        <v>1235</v>
      </c>
    </row>
    <row r="1088" spans="1:15" ht="15">
      <c r="A1088" s="66" t="s">
        <v>214</v>
      </c>
      <c r="B1088" s="66" t="s">
        <v>904</v>
      </c>
      <c r="C1088" s="67"/>
      <c r="D1088" s="68"/>
      <c r="E1088" s="69"/>
      <c r="F1088" s="70"/>
      <c r="G1088" s="67"/>
      <c r="H1088" s="71"/>
      <c r="I1088" s="72"/>
      <c r="J1088" s="72"/>
      <c r="K1088" s="36"/>
      <c r="L1088" s="79">
        <v>1088</v>
      </c>
      <c r="M1088" s="79"/>
      <c r="N1088" s="74"/>
      <c r="O1088" s="81" t="s">
        <v>1235</v>
      </c>
    </row>
    <row r="1089" spans="1:15" ht="15">
      <c r="A1089" s="66" t="s">
        <v>193</v>
      </c>
      <c r="B1089" s="66" t="s">
        <v>905</v>
      </c>
      <c r="C1089" s="67"/>
      <c r="D1089" s="68"/>
      <c r="E1089" s="69"/>
      <c r="F1089" s="70"/>
      <c r="G1089" s="67"/>
      <c r="H1089" s="71"/>
      <c r="I1089" s="72"/>
      <c r="J1089" s="72"/>
      <c r="K1089" s="36"/>
      <c r="L1089" s="79">
        <v>1089</v>
      </c>
      <c r="M1089" s="79"/>
      <c r="N1089" s="74"/>
      <c r="O1089" s="81" t="s">
        <v>1235</v>
      </c>
    </row>
    <row r="1090" spans="1:15" ht="15">
      <c r="A1090" s="66" t="s">
        <v>214</v>
      </c>
      <c r="B1090" s="66" t="s">
        <v>905</v>
      </c>
      <c r="C1090" s="67"/>
      <c r="D1090" s="68"/>
      <c r="E1090" s="69"/>
      <c r="F1090" s="70"/>
      <c r="G1090" s="67"/>
      <c r="H1090" s="71"/>
      <c r="I1090" s="72"/>
      <c r="J1090" s="72"/>
      <c r="K1090" s="36"/>
      <c r="L1090" s="79">
        <v>1090</v>
      </c>
      <c r="M1090" s="79"/>
      <c r="N1090" s="74"/>
      <c r="O1090" s="81" t="s">
        <v>1235</v>
      </c>
    </row>
    <row r="1091" spans="1:15" ht="15">
      <c r="A1091" s="66" t="s">
        <v>214</v>
      </c>
      <c r="B1091" s="66" t="s">
        <v>906</v>
      </c>
      <c r="C1091" s="67"/>
      <c r="D1091" s="68"/>
      <c r="E1091" s="69"/>
      <c r="F1091" s="70"/>
      <c r="G1091" s="67"/>
      <c r="H1091" s="71"/>
      <c r="I1091" s="72"/>
      <c r="J1091" s="72"/>
      <c r="K1091" s="36"/>
      <c r="L1091" s="79">
        <v>1091</v>
      </c>
      <c r="M1091" s="79"/>
      <c r="N1091" s="74"/>
      <c r="O1091" s="81" t="s">
        <v>1235</v>
      </c>
    </row>
    <row r="1092" spans="1:15" ht="15">
      <c r="A1092" s="66" t="s">
        <v>214</v>
      </c>
      <c r="B1092" s="66" t="s">
        <v>321</v>
      </c>
      <c r="C1092" s="67"/>
      <c r="D1092" s="68"/>
      <c r="E1092" s="69"/>
      <c r="F1092" s="70"/>
      <c r="G1092" s="67"/>
      <c r="H1092" s="71"/>
      <c r="I1092" s="72"/>
      <c r="J1092" s="72"/>
      <c r="K1092" s="36"/>
      <c r="L1092" s="79">
        <v>1092</v>
      </c>
      <c r="M1092" s="79"/>
      <c r="N1092" s="74"/>
      <c r="O1092" s="81" t="s">
        <v>1235</v>
      </c>
    </row>
    <row r="1093" spans="1:15" ht="15">
      <c r="A1093" s="66" t="s">
        <v>214</v>
      </c>
      <c r="B1093" s="66" t="s">
        <v>907</v>
      </c>
      <c r="C1093" s="67"/>
      <c r="D1093" s="68"/>
      <c r="E1093" s="69"/>
      <c r="F1093" s="70"/>
      <c r="G1093" s="67"/>
      <c r="H1093" s="71"/>
      <c r="I1093" s="72"/>
      <c r="J1093" s="72"/>
      <c r="K1093" s="36"/>
      <c r="L1093" s="79">
        <v>1093</v>
      </c>
      <c r="M1093" s="79"/>
      <c r="N1093" s="74"/>
      <c r="O1093" s="81" t="s">
        <v>1235</v>
      </c>
    </row>
    <row r="1094" spans="1:15" ht="15">
      <c r="A1094" s="66" t="s">
        <v>214</v>
      </c>
      <c r="B1094" s="66" t="s">
        <v>908</v>
      </c>
      <c r="C1094" s="67"/>
      <c r="D1094" s="68"/>
      <c r="E1094" s="69"/>
      <c r="F1094" s="70"/>
      <c r="G1094" s="67"/>
      <c r="H1094" s="71"/>
      <c r="I1094" s="72"/>
      <c r="J1094" s="72"/>
      <c r="K1094" s="36"/>
      <c r="L1094" s="79">
        <v>1094</v>
      </c>
      <c r="M1094" s="79"/>
      <c r="N1094" s="74"/>
      <c r="O1094" s="81" t="s">
        <v>1235</v>
      </c>
    </row>
    <row r="1095" spans="1:15" ht="15">
      <c r="A1095" s="66" t="s">
        <v>214</v>
      </c>
      <c r="B1095" s="66" t="s">
        <v>909</v>
      </c>
      <c r="C1095" s="67"/>
      <c r="D1095" s="68"/>
      <c r="E1095" s="69"/>
      <c r="F1095" s="70"/>
      <c r="G1095" s="67"/>
      <c r="H1095" s="71"/>
      <c r="I1095" s="72"/>
      <c r="J1095" s="72"/>
      <c r="K1095" s="36"/>
      <c r="L1095" s="79">
        <v>1095</v>
      </c>
      <c r="M1095" s="79"/>
      <c r="N1095" s="74"/>
      <c r="O1095" s="81" t="s">
        <v>1235</v>
      </c>
    </row>
    <row r="1096" spans="1:15" ht="15">
      <c r="A1096" s="66" t="s">
        <v>214</v>
      </c>
      <c r="B1096" s="66" t="s">
        <v>910</v>
      </c>
      <c r="C1096" s="67"/>
      <c r="D1096" s="68"/>
      <c r="E1096" s="69"/>
      <c r="F1096" s="70"/>
      <c r="G1096" s="67"/>
      <c r="H1096" s="71"/>
      <c r="I1096" s="72"/>
      <c r="J1096" s="72"/>
      <c r="K1096" s="36"/>
      <c r="L1096" s="79">
        <v>1096</v>
      </c>
      <c r="M1096" s="79"/>
      <c r="N1096" s="74"/>
      <c r="O1096" s="81" t="s">
        <v>1235</v>
      </c>
    </row>
    <row r="1097" spans="1:15" ht="15">
      <c r="A1097" s="66" t="s">
        <v>215</v>
      </c>
      <c r="B1097" s="66" t="s">
        <v>911</v>
      </c>
      <c r="C1097" s="67"/>
      <c r="D1097" s="68"/>
      <c r="E1097" s="69"/>
      <c r="F1097" s="70"/>
      <c r="G1097" s="67"/>
      <c r="H1097" s="71"/>
      <c r="I1097" s="72"/>
      <c r="J1097" s="72"/>
      <c r="K1097" s="36"/>
      <c r="L1097" s="79">
        <v>1097</v>
      </c>
      <c r="M1097" s="79"/>
      <c r="N1097" s="74"/>
      <c r="O1097" s="81" t="s">
        <v>1235</v>
      </c>
    </row>
    <row r="1098" spans="1:15" ht="15">
      <c r="A1098" s="66" t="s">
        <v>212</v>
      </c>
      <c r="B1098" s="66" t="s">
        <v>912</v>
      </c>
      <c r="C1098" s="67"/>
      <c r="D1098" s="68"/>
      <c r="E1098" s="69"/>
      <c r="F1098" s="70"/>
      <c r="G1098" s="67"/>
      <c r="H1098" s="71"/>
      <c r="I1098" s="72"/>
      <c r="J1098" s="72"/>
      <c r="K1098" s="36"/>
      <c r="L1098" s="79">
        <v>1098</v>
      </c>
      <c r="M1098" s="79"/>
      <c r="N1098" s="74"/>
      <c r="O1098" s="81" t="s">
        <v>1235</v>
      </c>
    </row>
    <row r="1099" spans="1:15" ht="15">
      <c r="A1099" s="66" t="s">
        <v>215</v>
      </c>
      <c r="B1099" s="66" t="s">
        <v>912</v>
      </c>
      <c r="C1099" s="67"/>
      <c r="D1099" s="68"/>
      <c r="E1099" s="69"/>
      <c r="F1099" s="70"/>
      <c r="G1099" s="67"/>
      <c r="H1099" s="71"/>
      <c r="I1099" s="72"/>
      <c r="J1099" s="72"/>
      <c r="K1099" s="36"/>
      <c r="L1099" s="79">
        <v>1099</v>
      </c>
      <c r="M1099" s="79"/>
      <c r="N1099" s="74"/>
      <c r="O1099" s="81" t="s">
        <v>1235</v>
      </c>
    </row>
    <row r="1100" spans="1:15" ht="15">
      <c r="A1100" s="66" t="s">
        <v>211</v>
      </c>
      <c r="B1100" s="66" t="s">
        <v>612</v>
      </c>
      <c r="C1100" s="67"/>
      <c r="D1100" s="68"/>
      <c r="E1100" s="69"/>
      <c r="F1100" s="70"/>
      <c r="G1100" s="67"/>
      <c r="H1100" s="71"/>
      <c r="I1100" s="72"/>
      <c r="J1100" s="72"/>
      <c r="K1100" s="36"/>
      <c r="L1100" s="79">
        <v>1100</v>
      </c>
      <c r="M1100" s="79"/>
      <c r="N1100" s="74"/>
      <c r="O1100" s="81" t="s">
        <v>1235</v>
      </c>
    </row>
    <row r="1101" spans="1:15" ht="15">
      <c r="A1101" s="66" t="s">
        <v>215</v>
      </c>
      <c r="B1101" s="66" t="s">
        <v>612</v>
      </c>
      <c r="C1101" s="67"/>
      <c r="D1101" s="68"/>
      <c r="E1101" s="69"/>
      <c r="F1101" s="70"/>
      <c r="G1101" s="67"/>
      <c r="H1101" s="71"/>
      <c r="I1101" s="72"/>
      <c r="J1101" s="72"/>
      <c r="K1101" s="36"/>
      <c r="L1101" s="79">
        <v>1101</v>
      </c>
      <c r="M1101" s="79"/>
      <c r="N1101" s="74"/>
      <c r="O1101" s="81" t="s">
        <v>1235</v>
      </c>
    </row>
    <row r="1102" spans="1:15" ht="15">
      <c r="A1102" s="66" t="s">
        <v>215</v>
      </c>
      <c r="B1102" s="66" t="s">
        <v>913</v>
      </c>
      <c r="C1102" s="67"/>
      <c r="D1102" s="68"/>
      <c r="E1102" s="69"/>
      <c r="F1102" s="70"/>
      <c r="G1102" s="67"/>
      <c r="H1102" s="71"/>
      <c r="I1102" s="72"/>
      <c r="J1102" s="72"/>
      <c r="K1102" s="36"/>
      <c r="L1102" s="79">
        <v>1102</v>
      </c>
      <c r="M1102" s="79"/>
      <c r="N1102" s="74"/>
      <c r="O1102" s="81" t="s">
        <v>1235</v>
      </c>
    </row>
    <row r="1103" spans="1:15" ht="15">
      <c r="A1103" s="66" t="s">
        <v>215</v>
      </c>
      <c r="B1103" s="66" t="s">
        <v>914</v>
      </c>
      <c r="C1103" s="67"/>
      <c r="D1103" s="68"/>
      <c r="E1103" s="69"/>
      <c r="F1103" s="70"/>
      <c r="G1103" s="67"/>
      <c r="H1103" s="71"/>
      <c r="I1103" s="72"/>
      <c r="J1103" s="72"/>
      <c r="K1103" s="36"/>
      <c r="L1103" s="79">
        <v>1103</v>
      </c>
      <c r="M1103" s="79"/>
      <c r="N1103" s="74"/>
      <c r="O1103" s="81" t="s">
        <v>1235</v>
      </c>
    </row>
    <row r="1104" spans="1:15" ht="15">
      <c r="A1104" s="66" t="s">
        <v>215</v>
      </c>
      <c r="B1104" s="66" t="s">
        <v>915</v>
      </c>
      <c r="C1104" s="67"/>
      <c r="D1104" s="68"/>
      <c r="E1104" s="69"/>
      <c r="F1104" s="70"/>
      <c r="G1104" s="67"/>
      <c r="H1104" s="71"/>
      <c r="I1104" s="72"/>
      <c r="J1104" s="72"/>
      <c r="K1104" s="36"/>
      <c r="L1104" s="79">
        <v>1104</v>
      </c>
      <c r="M1104" s="79"/>
      <c r="N1104" s="74"/>
      <c r="O1104" s="81" t="s">
        <v>1235</v>
      </c>
    </row>
    <row r="1105" spans="1:15" ht="15">
      <c r="A1105" s="66" t="s">
        <v>215</v>
      </c>
      <c r="B1105" s="66" t="s">
        <v>916</v>
      </c>
      <c r="C1105" s="67"/>
      <c r="D1105" s="68"/>
      <c r="E1105" s="69"/>
      <c r="F1105" s="70"/>
      <c r="G1105" s="67"/>
      <c r="H1105" s="71"/>
      <c r="I1105" s="72"/>
      <c r="J1105" s="72"/>
      <c r="K1105" s="36"/>
      <c r="L1105" s="79">
        <v>1105</v>
      </c>
      <c r="M1105" s="79"/>
      <c r="N1105" s="74"/>
      <c r="O1105" s="81" t="s">
        <v>1235</v>
      </c>
    </row>
    <row r="1106" spans="1:15" ht="15">
      <c r="A1106" s="66" t="s">
        <v>215</v>
      </c>
      <c r="B1106" s="66" t="s">
        <v>917</v>
      </c>
      <c r="C1106" s="67"/>
      <c r="D1106" s="68"/>
      <c r="E1106" s="69"/>
      <c r="F1106" s="70"/>
      <c r="G1106" s="67"/>
      <c r="H1106" s="71"/>
      <c r="I1106" s="72"/>
      <c r="J1106" s="72"/>
      <c r="K1106" s="36"/>
      <c r="L1106" s="79">
        <v>1106</v>
      </c>
      <c r="M1106" s="79"/>
      <c r="N1106" s="74"/>
      <c r="O1106" s="81" t="s">
        <v>1235</v>
      </c>
    </row>
    <row r="1107" spans="1:15" ht="15">
      <c r="A1107" s="66" t="s">
        <v>215</v>
      </c>
      <c r="B1107" s="66" t="s">
        <v>741</v>
      </c>
      <c r="C1107" s="67"/>
      <c r="D1107" s="68"/>
      <c r="E1107" s="69"/>
      <c r="F1107" s="70"/>
      <c r="G1107" s="67"/>
      <c r="H1107" s="71"/>
      <c r="I1107" s="72"/>
      <c r="J1107" s="72"/>
      <c r="K1107" s="36"/>
      <c r="L1107" s="79">
        <v>1107</v>
      </c>
      <c r="M1107" s="79"/>
      <c r="N1107" s="74"/>
      <c r="O1107" s="81" t="s">
        <v>1235</v>
      </c>
    </row>
    <row r="1108" spans="1:15" ht="15">
      <c r="A1108" s="66" t="s">
        <v>215</v>
      </c>
      <c r="B1108" s="66" t="s">
        <v>343</v>
      </c>
      <c r="C1108" s="67"/>
      <c r="D1108" s="68"/>
      <c r="E1108" s="69"/>
      <c r="F1108" s="70"/>
      <c r="G1108" s="67"/>
      <c r="H1108" s="71"/>
      <c r="I1108" s="72"/>
      <c r="J1108" s="72"/>
      <c r="K1108" s="36"/>
      <c r="L1108" s="79">
        <v>1108</v>
      </c>
      <c r="M1108" s="79"/>
      <c r="N1108" s="74"/>
      <c r="O1108" s="81" t="s">
        <v>1235</v>
      </c>
    </row>
    <row r="1109" spans="1:15" ht="15">
      <c r="A1109" s="66" t="s">
        <v>215</v>
      </c>
      <c r="B1109" s="66" t="s">
        <v>918</v>
      </c>
      <c r="C1109" s="67"/>
      <c r="D1109" s="68"/>
      <c r="E1109" s="69"/>
      <c r="F1109" s="70"/>
      <c r="G1109" s="67"/>
      <c r="H1109" s="71"/>
      <c r="I1109" s="72"/>
      <c r="J1109" s="72"/>
      <c r="K1109" s="36"/>
      <c r="L1109" s="79">
        <v>1109</v>
      </c>
      <c r="M1109" s="79"/>
      <c r="N1109" s="74"/>
      <c r="O1109" s="81" t="s">
        <v>1235</v>
      </c>
    </row>
    <row r="1110" spans="1:15" ht="15">
      <c r="A1110" s="66" t="s">
        <v>215</v>
      </c>
      <c r="B1110" s="66" t="s">
        <v>733</v>
      </c>
      <c r="C1110" s="67"/>
      <c r="D1110" s="68"/>
      <c r="E1110" s="69"/>
      <c r="F1110" s="70"/>
      <c r="G1110" s="67"/>
      <c r="H1110" s="71"/>
      <c r="I1110" s="72"/>
      <c r="J1110" s="72"/>
      <c r="K1110" s="36"/>
      <c r="L1110" s="79">
        <v>1110</v>
      </c>
      <c r="M1110" s="79"/>
      <c r="N1110" s="74"/>
      <c r="O1110" s="81" t="s">
        <v>1235</v>
      </c>
    </row>
    <row r="1111" spans="1:15" ht="15">
      <c r="A1111" s="66" t="s">
        <v>215</v>
      </c>
      <c r="B1111" s="66" t="s">
        <v>732</v>
      </c>
      <c r="C1111" s="67"/>
      <c r="D1111" s="68"/>
      <c r="E1111" s="69"/>
      <c r="F1111" s="70"/>
      <c r="G1111" s="67"/>
      <c r="H1111" s="71"/>
      <c r="I1111" s="72"/>
      <c r="J1111" s="72"/>
      <c r="K1111" s="36"/>
      <c r="L1111" s="79">
        <v>1111</v>
      </c>
      <c r="M1111" s="79"/>
      <c r="N1111" s="74"/>
      <c r="O1111" s="81" t="s">
        <v>1235</v>
      </c>
    </row>
    <row r="1112" spans="1:15" ht="15">
      <c r="A1112" s="66" t="s">
        <v>215</v>
      </c>
      <c r="B1112" s="66" t="s">
        <v>919</v>
      </c>
      <c r="C1112" s="67"/>
      <c r="D1112" s="68"/>
      <c r="E1112" s="69"/>
      <c r="F1112" s="70"/>
      <c r="G1112" s="67"/>
      <c r="H1112" s="71"/>
      <c r="I1112" s="72"/>
      <c r="J1112" s="72"/>
      <c r="K1112" s="36"/>
      <c r="L1112" s="79">
        <v>1112</v>
      </c>
      <c r="M1112" s="79"/>
      <c r="N1112" s="74"/>
      <c r="O1112" s="81" t="s">
        <v>1235</v>
      </c>
    </row>
    <row r="1113" spans="1:15" ht="15">
      <c r="A1113" s="66" t="s">
        <v>215</v>
      </c>
      <c r="B1113" s="66" t="s">
        <v>920</v>
      </c>
      <c r="C1113" s="67"/>
      <c r="D1113" s="68"/>
      <c r="E1113" s="69"/>
      <c r="F1113" s="70"/>
      <c r="G1113" s="67"/>
      <c r="H1113" s="71"/>
      <c r="I1113" s="72"/>
      <c r="J1113" s="72"/>
      <c r="K1113" s="36"/>
      <c r="L1113" s="79">
        <v>1113</v>
      </c>
      <c r="M1113" s="79"/>
      <c r="N1113" s="74"/>
      <c r="O1113" s="81" t="s">
        <v>1235</v>
      </c>
    </row>
    <row r="1114" spans="1:15" ht="15">
      <c r="A1114" s="66" t="s">
        <v>215</v>
      </c>
      <c r="B1114" s="66" t="s">
        <v>921</v>
      </c>
      <c r="C1114" s="67"/>
      <c r="D1114" s="68"/>
      <c r="E1114" s="69"/>
      <c r="F1114" s="70"/>
      <c r="G1114" s="67"/>
      <c r="H1114" s="71"/>
      <c r="I1114" s="72"/>
      <c r="J1114" s="72"/>
      <c r="K1114" s="36"/>
      <c r="L1114" s="79">
        <v>1114</v>
      </c>
      <c r="M1114" s="79"/>
      <c r="N1114" s="74"/>
      <c r="O1114" s="81" t="s">
        <v>1235</v>
      </c>
    </row>
    <row r="1115" spans="1:15" ht="15">
      <c r="A1115" s="66" t="s">
        <v>215</v>
      </c>
      <c r="B1115" s="66" t="s">
        <v>922</v>
      </c>
      <c r="C1115" s="67"/>
      <c r="D1115" s="68"/>
      <c r="E1115" s="69"/>
      <c r="F1115" s="70"/>
      <c r="G1115" s="67"/>
      <c r="H1115" s="71"/>
      <c r="I1115" s="72"/>
      <c r="J1115" s="72"/>
      <c r="K1115" s="36"/>
      <c r="L1115" s="79">
        <v>1115</v>
      </c>
      <c r="M1115" s="79"/>
      <c r="N1115" s="74"/>
      <c r="O1115" s="81" t="s">
        <v>1235</v>
      </c>
    </row>
    <row r="1116" spans="1:15" ht="15">
      <c r="A1116" s="66" t="s">
        <v>215</v>
      </c>
      <c r="B1116" s="66" t="s">
        <v>899</v>
      </c>
      <c r="C1116" s="67"/>
      <c r="D1116" s="68"/>
      <c r="E1116" s="69"/>
      <c r="F1116" s="70"/>
      <c r="G1116" s="67"/>
      <c r="H1116" s="71"/>
      <c r="I1116" s="72"/>
      <c r="J1116" s="72"/>
      <c r="K1116" s="36"/>
      <c r="L1116" s="79">
        <v>1116</v>
      </c>
      <c r="M1116" s="79"/>
      <c r="N1116" s="74"/>
      <c r="O1116" s="81" t="s">
        <v>1235</v>
      </c>
    </row>
    <row r="1117" spans="1:15" ht="15">
      <c r="A1117" s="66" t="s">
        <v>215</v>
      </c>
      <c r="B1117" s="66" t="s">
        <v>923</v>
      </c>
      <c r="C1117" s="67"/>
      <c r="D1117" s="68"/>
      <c r="E1117" s="69"/>
      <c r="F1117" s="70"/>
      <c r="G1117" s="67"/>
      <c r="H1117" s="71"/>
      <c r="I1117" s="72"/>
      <c r="J1117" s="72"/>
      <c r="K1117" s="36"/>
      <c r="L1117" s="79">
        <v>1117</v>
      </c>
      <c r="M1117" s="79"/>
      <c r="N1117" s="74"/>
      <c r="O1117" s="81" t="s">
        <v>1235</v>
      </c>
    </row>
    <row r="1118" spans="1:15" ht="15">
      <c r="A1118" s="66" t="s">
        <v>215</v>
      </c>
      <c r="B1118" s="66" t="s">
        <v>924</v>
      </c>
      <c r="C1118" s="67"/>
      <c r="D1118" s="68"/>
      <c r="E1118" s="69"/>
      <c r="F1118" s="70"/>
      <c r="G1118" s="67"/>
      <c r="H1118" s="71"/>
      <c r="I1118" s="72"/>
      <c r="J1118" s="72"/>
      <c r="K1118" s="36"/>
      <c r="L1118" s="79">
        <v>1118</v>
      </c>
      <c r="M1118" s="79"/>
      <c r="N1118" s="74"/>
      <c r="O1118" s="81" t="s">
        <v>1235</v>
      </c>
    </row>
    <row r="1119" spans="1:15" ht="15">
      <c r="A1119" s="66" t="s">
        <v>215</v>
      </c>
      <c r="B1119" s="66" t="s">
        <v>925</v>
      </c>
      <c r="C1119" s="67"/>
      <c r="D1119" s="68"/>
      <c r="E1119" s="69"/>
      <c r="F1119" s="70"/>
      <c r="G1119" s="67"/>
      <c r="H1119" s="71"/>
      <c r="I1119" s="72"/>
      <c r="J1119" s="72"/>
      <c r="K1119" s="36"/>
      <c r="L1119" s="79">
        <v>1119</v>
      </c>
      <c r="M1119" s="79"/>
      <c r="N1119" s="74"/>
      <c r="O1119" s="81" t="s">
        <v>1235</v>
      </c>
    </row>
    <row r="1120" spans="1:15" ht="15">
      <c r="A1120" s="66" t="s">
        <v>215</v>
      </c>
      <c r="B1120" s="66" t="s">
        <v>926</v>
      </c>
      <c r="C1120" s="67"/>
      <c r="D1120" s="68"/>
      <c r="E1120" s="69"/>
      <c r="F1120" s="70"/>
      <c r="G1120" s="67"/>
      <c r="H1120" s="71"/>
      <c r="I1120" s="72"/>
      <c r="J1120" s="72"/>
      <c r="K1120" s="36"/>
      <c r="L1120" s="79">
        <v>1120</v>
      </c>
      <c r="M1120" s="79"/>
      <c r="N1120" s="74"/>
      <c r="O1120" s="81" t="s">
        <v>1235</v>
      </c>
    </row>
    <row r="1121" spans="1:15" ht="15">
      <c r="A1121" s="66" t="s">
        <v>215</v>
      </c>
      <c r="B1121" s="66" t="s">
        <v>927</v>
      </c>
      <c r="C1121" s="67"/>
      <c r="D1121" s="68"/>
      <c r="E1121" s="69"/>
      <c r="F1121" s="70"/>
      <c r="G1121" s="67"/>
      <c r="H1121" s="71"/>
      <c r="I1121" s="72"/>
      <c r="J1121" s="72"/>
      <c r="K1121" s="36"/>
      <c r="L1121" s="79">
        <v>1121</v>
      </c>
      <c r="M1121" s="79"/>
      <c r="N1121" s="74"/>
      <c r="O1121" s="81" t="s">
        <v>1235</v>
      </c>
    </row>
    <row r="1122" spans="1:15" ht="15">
      <c r="A1122" s="66" t="s">
        <v>179</v>
      </c>
      <c r="B1122" s="66" t="s">
        <v>928</v>
      </c>
      <c r="C1122" s="67"/>
      <c r="D1122" s="68"/>
      <c r="E1122" s="69"/>
      <c r="F1122" s="70"/>
      <c r="G1122" s="67"/>
      <c r="H1122" s="71"/>
      <c r="I1122" s="72"/>
      <c r="J1122" s="72"/>
      <c r="K1122" s="36"/>
      <c r="L1122" s="79">
        <v>1122</v>
      </c>
      <c r="M1122" s="79"/>
      <c r="N1122" s="74"/>
      <c r="O1122" s="81" t="s">
        <v>1235</v>
      </c>
    </row>
    <row r="1123" spans="1:15" ht="15">
      <c r="A1123" s="66" t="s">
        <v>214</v>
      </c>
      <c r="B1123" s="66" t="s">
        <v>928</v>
      </c>
      <c r="C1123" s="67"/>
      <c r="D1123" s="68"/>
      <c r="E1123" s="69"/>
      <c r="F1123" s="70"/>
      <c r="G1123" s="67"/>
      <c r="H1123" s="71"/>
      <c r="I1123" s="72"/>
      <c r="J1123" s="72"/>
      <c r="K1123" s="36"/>
      <c r="L1123" s="79">
        <v>1123</v>
      </c>
      <c r="M1123" s="79"/>
      <c r="N1123" s="74"/>
      <c r="O1123" s="81" t="s">
        <v>1235</v>
      </c>
    </row>
    <row r="1124" spans="1:15" ht="15">
      <c r="A1124" s="66" t="s">
        <v>215</v>
      </c>
      <c r="B1124" s="66" t="s">
        <v>928</v>
      </c>
      <c r="C1124" s="67"/>
      <c r="D1124" s="68"/>
      <c r="E1124" s="69"/>
      <c r="F1124" s="70"/>
      <c r="G1124" s="67"/>
      <c r="H1124" s="71"/>
      <c r="I1124" s="72"/>
      <c r="J1124" s="72"/>
      <c r="K1124" s="36"/>
      <c r="L1124" s="79">
        <v>1124</v>
      </c>
      <c r="M1124" s="79"/>
      <c r="N1124" s="74"/>
      <c r="O1124" s="81" t="s">
        <v>1235</v>
      </c>
    </row>
    <row r="1125" spans="1:15" ht="15">
      <c r="A1125" s="66" t="s">
        <v>215</v>
      </c>
      <c r="B1125" s="66" t="s">
        <v>929</v>
      </c>
      <c r="C1125" s="67"/>
      <c r="D1125" s="68"/>
      <c r="E1125" s="69"/>
      <c r="F1125" s="70"/>
      <c r="G1125" s="67"/>
      <c r="H1125" s="71"/>
      <c r="I1125" s="72"/>
      <c r="J1125" s="72"/>
      <c r="K1125" s="36"/>
      <c r="L1125" s="79">
        <v>1125</v>
      </c>
      <c r="M1125" s="79"/>
      <c r="N1125" s="74"/>
      <c r="O1125" s="81" t="s">
        <v>1235</v>
      </c>
    </row>
    <row r="1126" spans="1:15" ht="15">
      <c r="A1126" s="66" t="s">
        <v>215</v>
      </c>
      <c r="B1126" s="66" t="s">
        <v>648</v>
      </c>
      <c r="C1126" s="67"/>
      <c r="D1126" s="68"/>
      <c r="E1126" s="69"/>
      <c r="F1126" s="70"/>
      <c r="G1126" s="67"/>
      <c r="H1126" s="71"/>
      <c r="I1126" s="72"/>
      <c r="J1126" s="72"/>
      <c r="K1126" s="36"/>
      <c r="L1126" s="79">
        <v>1126</v>
      </c>
      <c r="M1126" s="79"/>
      <c r="N1126" s="74"/>
      <c r="O1126" s="81" t="s">
        <v>1235</v>
      </c>
    </row>
    <row r="1127" spans="1:15" ht="15">
      <c r="A1127" s="66" t="s">
        <v>215</v>
      </c>
      <c r="B1127" s="66" t="s">
        <v>652</v>
      </c>
      <c r="C1127" s="67"/>
      <c r="D1127" s="68"/>
      <c r="E1127" s="69"/>
      <c r="F1127" s="70"/>
      <c r="G1127" s="67"/>
      <c r="H1127" s="71"/>
      <c r="I1127" s="72"/>
      <c r="J1127" s="72"/>
      <c r="K1127" s="36"/>
      <c r="L1127" s="79">
        <v>1127</v>
      </c>
      <c r="M1127" s="79"/>
      <c r="N1127" s="74"/>
      <c r="O1127" s="81" t="s">
        <v>1235</v>
      </c>
    </row>
    <row r="1128" spans="1:15" ht="15">
      <c r="A1128" s="66" t="s">
        <v>215</v>
      </c>
      <c r="B1128" s="66" t="s">
        <v>930</v>
      </c>
      <c r="C1128" s="67"/>
      <c r="D1128" s="68"/>
      <c r="E1128" s="69"/>
      <c r="F1128" s="70"/>
      <c r="G1128" s="67"/>
      <c r="H1128" s="71"/>
      <c r="I1128" s="72"/>
      <c r="J1128" s="72"/>
      <c r="K1128" s="36"/>
      <c r="L1128" s="79">
        <v>1128</v>
      </c>
      <c r="M1128" s="79"/>
      <c r="N1128" s="74"/>
      <c r="O1128" s="81" t="s">
        <v>1235</v>
      </c>
    </row>
    <row r="1129" spans="1:15" ht="15">
      <c r="A1129" s="66" t="s">
        <v>215</v>
      </c>
      <c r="B1129" s="66" t="s">
        <v>471</v>
      </c>
      <c r="C1129" s="67"/>
      <c r="D1129" s="68"/>
      <c r="E1129" s="69"/>
      <c r="F1129" s="70"/>
      <c r="G1129" s="67"/>
      <c r="H1129" s="71"/>
      <c r="I1129" s="72"/>
      <c r="J1129" s="72"/>
      <c r="K1129" s="36"/>
      <c r="L1129" s="79">
        <v>1129</v>
      </c>
      <c r="M1129" s="79"/>
      <c r="N1129" s="74"/>
      <c r="O1129" s="81" t="s">
        <v>1235</v>
      </c>
    </row>
    <row r="1130" spans="1:15" ht="15">
      <c r="A1130" s="66" t="s">
        <v>215</v>
      </c>
      <c r="B1130" s="66" t="s">
        <v>931</v>
      </c>
      <c r="C1130" s="67"/>
      <c r="D1130" s="68"/>
      <c r="E1130" s="69"/>
      <c r="F1130" s="70"/>
      <c r="G1130" s="67"/>
      <c r="H1130" s="71"/>
      <c r="I1130" s="72"/>
      <c r="J1130" s="72"/>
      <c r="K1130" s="36"/>
      <c r="L1130" s="79">
        <v>1130</v>
      </c>
      <c r="M1130" s="79"/>
      <c r="N1130" s="74"/>
      <c r="O1130" s="81" t="s">
        <v>1235</v>
      </c>
    </row>
    <row r="1131" spans="1:15" ht="15">
      <c r="A1131" s="66" t="s">
        <v>211</v>
      </c>
      <c r="B1131" s="66" t="s">
        <v>718</v>
      </c>
      <c r="C1131" s="67"/>
      <c r="D1131" s="68"/>
      <c r="E1131" s="69"/>
      <c r="F1131" s="70"/>
      <c r="G1131" s="67"/>
      <c r="H1131" s="71"/>
      <c r="I1131" s="72"/>
      <c r="J1131" s="72"/>
      <c r="K1131" s="36"/>
      <c r="L1131" s="79">
        <v>1131</v>
      </c>
      <c r="M1131" s="79"/>
      <c r="N1131" s="74"/>
      <c r="O1131" s="81" t="s">
        <v>1235</v>
      </c>
    </row>
    <row r="1132" spans="1:15" ht="15">
      <c r="A1132" s="66" t="s">
        <v>215</v>
      </c>
      <c r="B1132" s="66" t="s">
        <v>718</v>
      </c>
      <c r="C1132" s="67"/>
      <c r="D1132" s="68"/>
      <c r="E1132" s="69"/>
      <c r="F1132" s="70"/>
      <c r="G1132" s="67"/>
      <c r="H1132" s="71"/>
      <c r="I1132" s="72"/>
      <c r="J1132" s="72"/>
      <c r="K1132" s="36"/>
      <c r="L1132" s="79">
        <v>1132</v>
      </c>
      <c r="M1132" s="79"/>
      <c r="N1132" s="74"/>
      <c r="O1132" s="81" t="s">
        <v>1235</v>
      </c>
    </row>
    <row r="1133" spans="1:15" ht="15">
      <c r="A1133" s="66" t="s">
        <v>216</v>
      </c>
      <c r="B1133" s="66" t="s">
        <v>932</v>
      </c>
      <c r="C1133" s="67"/>
      <c r="D1133" s="68"/>
      <c r="E1133" s="69"/>
      <c r="F1133" s="70"/>
      <c r="G1133" s="67"/>
      <c r="H1133" s="71"/>
      <c r="I1133" s="72"/>
      <c r="J1133" s="72"/>
      <c r="K1133" s="36"/>
      <c r="L1133" s="79">
        <v>1133</v>
      </c>
      <c r="M1133" s="79"/>
      <c r="N1133" s="74"/>
      <c r="O1133" s="81" t="s">
        <v>1235</v>
      </c>
    </row>
    <row r="1134" spans="1:15" ht="15">
      <c r="A1134" s="66" t="s">
        <v>216</v>
      </c>
      <c r="B1134" s="66" t="s">
        <v>933</v>
      </c>
      <c r="C1134" s="67"/>
      <c r="D1134" s="68"/>
      <c r="E1134" s="69"/>
      <c r="F1134" s="70"/>
      <c r="G1134" s="67"/>
      <c r="H1134" s="71"/>
      <c r="I1134" s="72"/>
      <c r="J1134" s="72"/>
      <c r="K1134" s="36"/>
      <c r="L1134" s="79">
        <v>1134</v>
      </c>
      <c r="M1134" s="79"/>
      <c r="N1134" s="74"/>
      <c r="O1134" s="81" t="s">
        <v>1235</v>
      </c>
    </row>
    <row r="1135" spans="1:15" ht="15">
      <c r="A1135" s="66" t="s">
        <v>216</v>
      </c>
      <c r="B1135" s="66" t="s">
        <v>934</v>
      </c>
      <c r="C1135" s="67"/>
      <c r="D1135" s="68"/>
      <c r="E1135" s="69"/>
      <c r="F1135" s="70"/>
      <c r="G1135" s="67"/>
      <c r="H1135" s="71"/>
      <c r="I1135" s="72"/>
      <c r="J1135" s="72"/>
      <c r="K1135" s="36"/>
      <c r="L1135" s="79">
        <v>1135</v>
      </c>
      <c r="M1135" s="79"/>
      <c r="N1135" s="74"/>
      <c r="O1135" s="81" t="s">
        <v>1235</v>
      </c>
    </row>
    <row r="1136" spans="1:15" ht="15">
      <c r="A1136" s="66" t="s">
        <v>216</v>
      </c>
      <c r="B1136" s="66" t="s">
        <v>935</v>
      </c>
      <c r="C1136" s="67"/>
      <c r="D1136" s="68"/>
      <c r="E1136" s="69"/>
      <c r="F1136" s="70"/>
      <c r="G1136" s="67"/>
      <c r="H1136" s="71"/>
      <c r="I1136" s="72"/>
      <c r="J1136" s="72"/>
      <c r="K1136" s="36"/>
      <c r="L1136" s="79">
        <v>1136</v>
      </c>
      <c r="M1136" s="79"/>
      <c r="N1136" s="74"/>
      <c r="O1136" s="81" t="s">
        <v>1235</v>
      </c>
    </row>
    <row r="1137" spans="1:15" ht="15">
      <c r="A1137" s="66" t="s">
        <v>216</v>
      </c>
      <c r="B1137" s="66" t="s">
        <v>936</v>
      </c>
      <c r="C1137" s="67"/>
      <c r="D1137" s="68"/>
      <c r="E1137" s="69"/>
      <c r="F1137" s="70"/>
      <c r="G1137" s="67"/>
      <c r="H1137" s="71"/>
      <c r="I1137" s="72"/>
      <c r="J1137" s="72"/>
      <c r="K1137" s="36"/>
      <c r="L1137" s="79">
        <v>1137</v>
      </c>
      <c r="M1137" s="79"/>
      <c r="N1137" s="74"/>
      <c r="O1137" s="81" t="s">
        <v>1235</v>
      </c>
    </row>
    <row r="1138" spans="1:15" ht="15">
      <c r="A1138" s="66" t="s">
        <v>216</v>
      </c>
      <c r="B1138" s="66" t="s">
        <v>937</v>
      </c>
      <c r="C1138" s="67"/>
      <c r="D1138" s="68"/>
      <c r="E1138" s="69"/>
      <c r="F1138" s="70"/>
      <c r="G1138" s="67"/>
      <c r="H1138" s="71"/>
      <c r="I1138" s="72"/>
      <c r="J1138" s="72"/>
      <c r="K1138" s="36"/>
      <c r="L1138" s="79">
        <v>1138</v>
      </c>
      <c r="M1138" s="79"/>
      <c r="N1138" s="74"/>
      <c r="O1138" s="81" t="s">
        <v>1235</v>
      </c>
    </row>
    <row r="1139" spans="1:15" ht="15">
      <c r="A1139" s="66" t="s">
        <v>216</v>
      </c>
      <c r="B1139" s="66" t="s">
        <v>604</v>
      </c>
      <c r="C1139" s="67"/>
      <c r="D1139" s="68"/>
      <c r="E1139" s="69"/>
      <c r="F1139" s="70"/>
      <c r="G1139" s="67"/>
      <c r="H1139" s="71"/>
      <c r="I1139" s="72"/>
      <c r="J1139" s="72"/>
      <c r="K1139" s="36"/>
      <c r="L1139" s="79">
        <v>1139</v>
      </c>
      <c r="M1139" s="79"/>
      <c r="N1139" s="74"/>
      <c r="O1139" s="81" t="s">
        <v>1235</v>
      </c>
    </row>
    <row r="1140" spans="1:15" ht="15">
      <c r="A1140" s="66" t="s">
        <v>216</v>
      </c>
      <c r="B1140" s="66" t="s">
        <v>938</v>
      </c>
      <c r="C1140" s="67"/>
      <c r="D1140" s="68"/>
      <c r="E1140" s="69"/>
      <c r="F1140" s="70"/>
      <c r="G1140" s="67"/>
      <c r="H1140" s="71"/>
      <c r="I1140" s="72"/>
      <c r="J1140" s="72"/>
      <c r="K1140" s="36"/>
      <c r="L1140" s="79">
        <v>1140</v>
      </c>
      <c r="M1140" s="79"/>
      <c r="N1140" s="74"/>
      <c r="O1140" s="81" t="s">
        <v>1235</v>
      </c>
    </row>
    <row r="1141" spans="1:15" ht="15">
      <c r="A1141" s="66" t="s">
        <v>216</v>
      </c>
      <c r="B1141" s="66" t="s">
        <v>939</v>
      </c>
      <c r="C1141" s="67"/>
      <c r="D1141" s="68"/>
      <c r="E1141" s="69"/>
      <c r="F1141" s="70"/>
      <c r="G1141" s="67"/>
      <c r="H1141" s="71"/>
      <c r="I1141" s="72"/>
      <c r="J1141" s="72"/>
      <c r="K1141" s="36"/>
      <c r="L1141" s="79">
        <v>1141</v>
      </c>
      <c r="M1141" s="79"/>
      <c r="N1141" s="74"/>
      <c r="O1141" s="81" t="s">
        <v>1235</v>
      </c>
    </row>
    <row r="1142" spans="1:15" ht="15">
      <c r="A1142" s="66" t="s">
        <v>216</v>
      </c>
      <c r="B1142" s="66" t="s">
        <v>940</v>
      </c>
      <c r="C1142" s="67"/>
      <c r="D1142" s="68"/>
      <c r="E1142" s="69"/>
      <c r="F1142" s="70"/>
      <c r="G1142" s="67"/>
      <c r="H1142" s="71"/>
      <c r="I1142" s="72"/>
      <c r="J1142" s="72"/>
      <c r="K1142" s="36"/>
      <c r="L1142" s="79">
        <v>1142</v>
      </c>
      <c r="M1142" s="79"/>
      <c r="N1142" s="74"/>
      <c r="O1142" s="81" t="s">
        <v>1235</v>
      </c>
    </row>
    <row r="1143" spans="1:15" ht="15">
      <c r="A1143" s="66" t="s">
        <v>216</v>
      </c>
      <c r="B1143" s="66" t="s">
        <v>941</v>
      </c>
      <c r="C1143" s="67"/>
      <c r="D1143" s="68"/>
      <c r="E1143" s="69"/>
      <c r="F1143" s="70"/>
      <c r="G1143" s="67"/>
      <c r="H1143" s="71"/>
      <c r="I1143" s="72"/>
      <c r="J1143" s="72"/>
      <c r="K1143" s="36"/>
      <c r="L1143" s="79">
        <v>1143</v>
      </c>
      <c r="M1143" s="79"/>
      <c r="N1143" s="74"/>
      <c r="O1143" s="81" t="s">
        <v>1235</v>
      </c>
    </row>
    <row r="1144" spans="1:15" ht="15">
      <c r="A1144" s="66" t="s">
        <v>216</v>
      </c>
      <c r="B1144" s="66" t="s">
        <v>942</v>
      </c>
      <c r="C1144" s="67"/>
      <c r="D1144" s="68"/>
      <c r="E1144" s="69"/>
      <c r="F1144" s="70"/>
      <c r="G1144" s="67"/>
      <c r="H1144" s="71"/>
      <c r="I1144" s="72"/>
      <c r="J1144" s="72"/>
      <c r="K1144" s="36"/>
      <c r="L1144" s="79">
        <v>1144</v>
      </c>
      <c r="M1144" s="79"/>
      <c r="N1144" s="74"/>
      <c r="O1144" s="81" t="s">
        <v>1235</v>
      </c>
    </row>
    <row r="1145" spans="1:15" ht="15">
      <c r="A1145" s="66" t="s">
        <v>216</v>
      </c>
      <c r="B1145" s="66" t="s">
        <v>943</v>
      </c>
      <c r="C1145" s="67"/>
      <c r="D1145" s="68"/>
      <c r="E1145" s="69"/>
      <c r="F1145" s="70"/>
      <c r="G1145" s="67"/>
      <c r="H1145" s="71"/>
      <c r="I1145" s="72"/>
      <c r="J1145" s="72"/>
      <c r="K1145" s="36"/>
      <c r="L1145" s="79">
        <v>1145</v>
      </c>
      <c r="M1145" s="79"/>
      <c r="N1145" s="74"/>
      <c r="O1145" s="81" t="s">
        <v>1235</v>
      </c>
    </row>
    <row r="1146" spans="1:15" ht="15">
      <c r="A1146" s="66" t="s">
        <v>215</v>
      </c>
      <c r="B1146" s="66" t="s">
        <v>944</v>
      </c>
      <c r="C1146" s="67"/>
      <c r="D1146" s="68"/>
      <c r="E1146" s="69"/>
      <c r="F1146" s="70"/>
      <c r="G1146" s="67"/>
      <c r="H1146" s="71"/>
      <c r="I1146" s="72"/>
      <c r="J1146" s="72"/>
      <c r="K1146" s="36"/>
      <c r="L1146" s="79">
        <v>1146</v>
      </c>
      <c r="M1146" s="79"/>
      <c r="N1146" s="74"/>
      <c r="O1146" s="81" t="s">
        <v>1235</v>
      </c>
    </row>
    <row r="1147" spans="1:15" ht="15">
      <c r="A1147" s="66" t="s">
        <v>216</v>
      </c>
      <c r="B1147" s="66" t="s">
        <v>944</v>
      </c>
      <c r="C1147" s="67"/>
      <c r="D1147" s="68"/>
      <c r="E1147" s="69"/>
      <c r="F1147" s="70"/>
      <c r="G1147" s="67"/>
      <c r="H1147" s="71"/>
      <c r="I1147" s="72"/>
      <c r="J1147" s="72"/>
      <c r="K1147" s="36"/>
      <c r="L1147" s="79">
        <v>1147</v>
      </c>
      <c r="M1147" s="79"/>
      <c r="N1147" s="74"/>
      <c r="O1147" s="81" t="s">
        <v>1235</v>
      </c>
    </row>
    <row r="1148" spans="1:15" ht="15">
      <c r="A1148" s="66" t="s">
        <v>216</v>
      </c>
      <c r="B1148" s="66" t="s">
        <v>945</v>
      </c>
      <c r="C1148" s="67"/>
      <c r="D1148" s="68"/>
      <c r="E1148" s="69"/>
      <c r="F1148" s="70"/>
      <c r="G1148" s="67"/>
      <c r="H1148" s="71"/>
      <c r="I1148" s="72"/>
      <c r="J1148" s="72"/>
      <c r="K1148" s="36"/>
      <c r="L1148" s="79">
        <v>1148</v>
      </c>
      <c r="M1148" s="79"/>
      <c r="N1148" s="74"/>
      <c r="O1148" s="81" t="s">
        <v>1235</v>
      </c>
    </row>
    <row r="1149" spans="1:15" ht="15">
      <c r="A1149" s="66" t="s">
        <v>216</v>
      </c>
      <c r="B1149" s="66" t="s">
        <v>946</v>
      </c>
      <c r="C1149" s="67"/>
      <c r="D1149" s="68"/>
      <c r="E1149" s="69"/>
      <c r="F1149" s="70"/>
      <c r="G1149" s="67"/>
      <c r="H1149" s="71"/>
      <c r="I1149" s="72"/>
      <c r="J1149" s="72"/>
      <c r="K1149" s="36"/>
      <c r="L1149" s="79">
        <v>1149</v>
      </c>
      <c r="M1149" s="79"/>
      <c r="N1149" s="74"/>
      <c r="O1149" s="81" t="s">
        <v>1235</v>
      </c>
    </row>
    <row r="1150" spans="1:15" ht="15">
      <c r="A1150" s="66" t="s">
        <v>216</v>
      </c>
      <c r="B1150" s="66" t="s">
        <v>611</v>
      </c>
      <c r="C1150" s="67"/>
      <c r="D1150" s="68"/>
      <c r="E1150" s="69"/>
      <c r="F1150" s="70"/>
      <c r="G1150" s="67"/>
      <c r="H1150" s="71"/>
      <c r="I1150" s="72"/>
      <c r="J1150" s="72"/>
      <c r="K1150" s="36"/>
      <c r="L1150" s="79">
        <v>1150</v>
      </c>
      <c r="M1150" s="79"/>
      <c r="N1150" s="74"/>
      <c r="O1150" s="81" t="s">
        <v>1235</v>
      </c>
    </row>
    <row r="1151" spans="1:15" ht="15">
      <c r="A1151" s="66" t="s">
        <v>216</v>
      </c>
      <c r="B1151" s="66" t="s">
        <v>947</v>
      </c>
      <c r="C1151" s="67"/>
      <c r="D1151" s="68"/>
      <c r="E1151" s="69"/>
      <c r="F1151" s="70"/>
      <c r="G1151" s="67"/>
      <c r="H1151" s="71"/>
      <c r="I1151" s="72"/>
      <c r="J1151" s="72"/>
      <c r="K1151" s="36"/>
      <c r="L1151" s="79">
        <v>1151</v>
      </c>
      <c r="M1151" s="79"/>
      <c r="N1151" s="74"/>
      <c r="O1151" s="81" t="s">
        <v>1235</v>
      </c>
    </row>
    <row r="1152" spans="1:15" ht="15">
      <c r="A1152" s="66" t="s">
        <v>216</v>
      </c>
      <c r="B1152" s="66" t="s">
        <v>948</v>
      </c>
      <c r="C1152" s="67"/>
      <c r="D1152" s="68"/>
      <c r="E1152" s="69"/>
      <c r="F1152" s="70"/>
      <c r="G1152" s="67"/>
      <c r="H1152" s="71"/>
      <c r="I1152" s="72"/>
      <c r="J1152" s="72"/>
      <c r="K1152" s="36"/>
      <c r="L1152" s="79">
        <v>1152</v>
      </c>
      <c r="M1152" s="79"/>
      <c r="N1152" s="74"/>
      <c r="O1152" s="81" t="s">
        <v>1235</v>
      </c>
    </row>
    <row r="1153" spans="1:15" ht="15">
      <c r="A1153" s="66" t="s">
        <v>216</v>
      </c>
      <c r="B1153" s="66" t="s">
        <v>949</v>
      </c>
      <c r="C1153" s="67"/>
      <c r="D1153" s="68"/>
      <c r="E1153" s="69"/>
      <c r="F1153" s="70"/>
      <c r="G1153" s="67"/>
      <c r="H1153" s="71"/>
      <c r="I1153" s="72"/>
      <c r="J1153" s="72"/>
      <c r="K1153" s="36"/>
      <c r="L1153" s="79">
        <v>1153</v>
      </c>
      <c r="M1153" s="79"/>
      <c r="N1153" s="74"/>
      <c r="O1153" s="81" t="s">
        <v>1235</v>
      </c>
    </row>
    <row r="1154" spans="1:15" ht="15">
      <c r="A1154" s="66" t="s">
        <v>216</v>
      </c>
      <c r="B1154" s="66" t="s">
        <v>950</v>
      </c>
      <c r="C1154" s="67"/>
      <c r="D1154" s="68"/>
      <c r="E1154" s="69"/>
      <c r="F1154" s="70"/>
      <c r="G1154" s="67"/>
      <c r="H1154" s="71"/>
      <c r="I1154" s="72"/>
      <c r="J1154" s="72"/>
      <c r="K1154" s="36"/>
      <c r="L1154" s="79">
        <v>1154</v>
      </c>
      <c r="M1154" s="79"/>
      <c r="N1154" s="74"/>
      <c r="O1154" s="81" t="s">
        <v>1235</v>
      </c>
    </row>
    <row r="1155" spans="1:15" ht="15">
      <c r="A1155" s="66" t="s">
        <v>216</v>
      </c>
      <c r="B1155" s="66" t="s">
        <v>951</v>
      </c>
      <c r="C1155" s="67"/>
      <c r="D1155" s="68"/>
      <c r="E1155" s="69"/>
      <c r="F1155" s="70"/>
      <c r="G1155" s="67"/>
      <c r="H1155" s="71"/>
      <c r="I1155" s="72"/>
      <c r="J1155" s="72"/>
      <c r="K1155" s="36"/>
      <c r="L1155" s="79">
        <v>1155</v>
      </c>
      <c r="M1155" s="79"/>
      <c r="N1155" s="74"/>
      <c r="O1155" s="81" t="s">
        <v>1235</v>
      </c>
    </row>
    <row r="1156" spans="1:15" ht="15">
      <c r="A1156" s="66" t="s">
        <v>216</v>
      </c>
      <c r="B1156" s="66" t="s">
        <v>952</v>
      </c>
      <c r="C1156" s="67"/>
      <c r="D1156" s="68"/>
      <c r="E1156" s="69"/>
      <c r="F1156" s="70"/>
      <c r="G1156" s="67"/>
      <c r="H1156" s="71"/>
      <c r="I1156" s="72"/>
      <c r="J1156" s="72"/>
      <c r="K1156" s="36"/>
      <c r="L1156" s="79">
        <v>1156</v>
      </c>
      <c r="M1156" s="79"/>
      <c r="N1156" s="74"/>
      <c r="O1156" s="81" t="s">
        <v>1235</v>
      </c>
    </row>
    <row r="1157" spans="1:15" ht="15">
      <c r="A1157" s="66" t="s">
        <v>216</v>
      </c>
      <c r="B1157" s="66" t="s">
        <v>953</v>
      </c>
      <c r="C1157" s="67"/>
      <c r="D1157" s="68"/>
      <c r="E1157" s="69"/>
      <c r="F1157" s="70"/>
      <c r="G1157" s="67"/>
      <c r="H1157" s="71"/>
      <c r="I1157" s="72"/>
      <c r="J1157" s="72"/>
      <c r="K1157" s="36"/>
      <c r="L1157" s="79">
        <v>1157</v>
      </c>
      <c r="M1157" s="79"/>
      <c r="N1157" s="74"/>
      <c r="O1157" s="81" t="s">
        <v>1235</v>
      </c>
    </row>
    <row r="1158" spans="1:15" ht="15">
      <c r="A1158" s="66" t="s">
        <v>216</v>
      </c>
      <c r="B1158" s="66" t="s">
        <v>954</v>
      </c>
      <c r="C1158" s="67"/>
      <c r="D1158" s="68"/>
      <c r="E1158" s="69"/>
      <c r="F1158" s="70"/>
      <c r="G1158" s="67"/>
      <c r="H1158" s="71"/>
      <c r="I1158" s="72"/>
      <c r="J1158" s="72"/>
      <c r="K1158" s="36"/>
      <c r="L1158" s="79">
        <v>1158</v>
      </c>
      <c r="M1158" s="79"/>
      <c r="N1158" s="74"/>
      <c r="O1158" s="81" t="s">
        <v>1235</v>
      </c>
    </row>
    <row r="1159" spans="1:15" ht="15">
      <c r="A1159" s="66" t="s">
        <v>216</v>
      </c>
      <c r="B1159" s="66" t="s">
        <v>955</v>
      </c>
      <c r="C1159" s="67"/>
      <c r="D1159" s="68"/>
      <c r="E1159" s="69"/>
      <c r="F1159" s="70"/>
      <c r="G1159" s="67"/>
      <c r="H1159" s="71"/>
      <c r="I1159" s="72"/>
      <c r="J1159" s="72"/>
      <c r="K1159" s="36"/>
      <c r="L1159" s="79">
        <v>1159</v>
      </c>
      <c r="M1159" s="79"/>
      <c r="N1159" s="74"/>
      <c r="O1159" s="81" t="s">
        <v>1235</v>
      </c>
    </row>
    <row r="1160" spans="1:15" ht="15">
      <c r="A1160" s="66" t="s">
        <v>216</v>
      </c>
      <c r="B1160" s="66" t="s">
        <v>956</v>
      </c>
      <c r="C1160" s="67"/>
      <c r="D1160" s="68"/>
      <c r="E1160" s="69"/>
      <c r="F1160" s="70"/>
      <c r="G1160" s="67"/>
      <c r="H1160" s="71"/>
      <c r="I1160" s="72"/>
      <c r="J1160" s="72"/>
      <c r="K1160" s="36"/>
      <c r="L1160" s="79">
        <v>1160</v>
      </c>
      <c r="M1160" s="79"/>
      <c r="N1160" s="74"/>
      <c r="O1160" s="81" t="s">
        <v>1235</v>
      </c>
    </row>
    <row r="1161" spans="1:15" ht="15">
      <c r="A1161" s="66" t="s">
        <v>216</v>
      </c>
      <c r="B1161" s="66" t="s">
        <v>728</v>
      </c>
      <c r="C1161" s="67"/>
      <c r="D1161" s="68"/>
      <c r="E1161" s="69"/>
      <c r="F1161" s="70"/>
      <c r="G1161" s="67"/>
      <c r="H1161" s="71"/>
      <c r="I1161" s="72"/>
      <c r="J1161" s="72"/>
      <c r="K1161" s="36"/>
      <c r="L1161" s="79">
        <v>1161</v>
      </c>
      <c r="M1161" s="79"/>
      <c r="N1161" s="74"/>
      <c r="O1161" s="81" t="s">
        <v>1235</v>
      </c>
    </row>
    <row r="1162" spans="1:15" ht="15">
      <c r="A1162" s="66" t="s">
        <v>216</v>
      </c>
      <c r="B1162" s="66" t="s">
        <v>957</v>
      </c>
      <c r="C1162" s="67"/>
      <c r="D1162" s="68"/>
      <c r="E1162" s="69"/>
      <c r="F1162" s="70"/>
      <c r="G1162" s="67"/>
      <c r="H1162" s="71"/>
      <c r="I1162" s="72"/>
      <c r="J1162" s="72"/>
      <c r="K1162" s="36"/>
      <c r="L1162" s="79">
        <v>1162</v>
      </c>
      <c r="M1162" s="79"/>
      <c r="N1162" s="74"/>
      <c r="O1162" s="81" t="s">
        <v>1235</v>
      </c>
    </row>
    <row r="1163" spans="1:15" ht="15">
      <c r="A1163" s="66" t="s">
        <v>211</v>
      </c>
      <c r="B1163" s="66" t="s">
        <v>958</v>
      </c>
      <c r="C1163" s="67"/>
      <c r="D1163" s="68"/>
      <c r="E1163" s="69"/>
      <c r="F1163" s="70"/>
      <c r="G1163" s="67"/>
      <c r="H1163" s="71"/>
      <c r="I1163" s="72"/>
      <c r="J1163" s="72"/>
      <c r="K1163" s="36"/>
      <c r="L1163" s="79">
        <v>1163</v>
      </c>
      <c r="M1163" s="79"/>
      <c r="N1163" s="74"/>
      <c r="O1163" s="81" t="s">
        <v>1235</v>
      </c>
    </row>
    <row r="1164" spans="1:15" ht="15">
      <c r="A1164" s="66" t="s">
        <v>216</v>
      </c>
      <c r="B1164" s="66" t="s">
        <v>958</v>
      </c>
      <c r="C1164" s="67"/>
      <c r="D1164" s="68"/>
      <c r="E1164" s="69"/>
      <c r="F1164" s="70"/>
      <c r="G1164" s="67"/>
      <c r="H1164" s="71"/>
      <c r="I1164" s="72"/>
      <c r="J1164" s="72"/>
      <c r="K1164" s="36"/>
      <c r="L1164" s="79">
        <v>1164</v>
      </c>
      <c r="M1164" s="79"/>
      <c r="N1164" s="74"/>
      <c r="O1164" s="81" t="s">
        <v>1235</v>
      </c>
    </row>
    <row r="1165" spans="1:15" ht="15">
      <c r="A1165" s="66" t="s">
        <v>216</v>
      </c>
      <c r="B1165" s="66" t="s">
        <v>730</v>
      </c>
      <c r="C1165" s="67"/>
      <c r="D1165" s="68"/>
      <c r="E1165" s="69"/>
      <c r="F1165" s="70"/>
      <c r="G1165" s="67"/>
      <c r="H1165" s="71"/>
      <c r="I1165" s="72"/>
      <c r="J1165" s="72"/>
      <c r="K1165" s="36"/>
      <c r="L1165" s="79">
        <v>1165</v>
      </c>
      <c r="M1165" s="79"/>
      <c r="N1165" s="74"/>
      <c r="O1165" s="81" t="s">
        <v>1235</v>
      </c>
    </row>
    <row r="1166" spans="1:15" ht="15">
      <c r="A1166" s="66" t="s">
        <v>216</v>
      </c>
      <c r="B1166" s="66" t="s">
        <v>959</v>
      </c>
      <c r="C1166" s="67"/>
      <c r="D1166" s="68"/>
      <c r="E1166" s="69"/>
      <c r="F1166" s="70"/>
      <c r="G1166" s="67"/>
      <c r="H1166" s="71"/>
      <c r="I1166" s="72"/>
      <c r="J1166" s="72"/>
      <c r="K1166" s="36"/>
      <c r="L1166" s="79">
        <v>1166</v>
      </c>
      <c r="M1166" s="79"/>
      <c r="N1166" s="74"/>
      <c r="O1166" s="81" t="s">
        <v>1235</v>
      </c>
    </row>
    <row r="1167" spans="1:15" ht="15">
      <c r="A1167" s="66" t="s">
        <v>217</v>
      </c>
      <c r="B1167" s="66" t="s">
        <v>960</v>
      </c>
      <c r="C1167" s="67"/>
      <c r="D1167" s="68"/>
      <c r="E1167" s="69"/>
      <c r="F1167" s="70"/>
      <c r="G1167" s="67"/>
      <c r="H1167" s="71"/>
      <c r="I1167" s="72"/>
      <c r="J1167" s="72"/>
      <c r="K1167" s="36"/>
      <c r="L1167" s="79">
        <v>1167</v>
      </c>
      <c r="M1167" s="79"/>
      <c r="N1167" s="74"/>
      <c r="O1167" s="81" t="s">
        <v>1235</v>
      </c>
    </row>
    <row r="1168" spans="1:15" ht="15">
      <c r="A1168" s="66" t="s">
        <v>217</v>
      </c>
      <c r="B1168" s="66" t="s">
        <v>961</v>
      </c>
      <c r="C1168" s="67"/>
      <c r="D1168" s="68"/>
      <c r="E1168" s="69"/>
      <c r="F1168" s="70"/>
      <c r="G1168" s="67"/>
      <c r="H1168" s="71"/>
      <c r="I1168" s="72"/>
      <c r="J1168" s="72"/>
      <c r="K1168" s="36"/>
      <c r="L1168" s="79">
        <v>1168</v>
      </c>
      <c r="M1168" s="79"/>
      <c r="N1168" s="74"/>
      <c r="O1168" s="81" t="s">
        <v>1235</v>
      </c>
    </row>
    <row r="1169" spans="1:15" ht="15">
      <c r="A1169" s="66" t="s">
        <v>217</v>
      </c>
      <c r="B1169" s="66" t="s">
        <v>962</v>
      </c>
      <c r="C1169" s="67"/>
      <c r="D1169" s="68"/>
      <c r="E1169" s="69"/>
      <c r="F1169" s="70"/>
      <c r="G1169" s="67"/>
      <c r="H1169" s="71"/>
      <c r="I1169" s="72"/>
      <c r="J1169" s="72"/>
      <c r="K1169" s="36"/>
      <c r="L1169" s="79">
        <v>1169</v>
      </c>
      <c r="M1169" s="79"/>
      <c r="N1169" s="74"/>
      <c r="O1169" s="81" t="s">
        <v>1235</v>
      </c>
    </row>
    <row r="1170" spans="1:15" ht="15">
      <c r="A1170" s="66" t="s">
        <v>217</v>
      </c>
      <c r="B1170" s="66" t="s">
        <v>963</v>
      </c>
      <c r="C1170" s="67"/>
      <c r="D1170" s="68"/>
      <c r="E1170" s="69"/>
      <c r="F1170" s="70"/>
      <c r="G1170" s="67"/>
      <c r="H1170" s="71"/>
      <c r="I1170" s="72"/>
      <c r="J1170" s="72"/>
      <c r="K1170" s="36"/>
      <c r="L1170" s="79">
        <v>1170</v>
      </c>
      <c r="M1170" s="79"/>
      <c r="N1170" s="74"/>
      <c r="O1170" s="81" t="s">
        <v>1235</v>
      </c>
    </row>
    <row r="1171" spans="1:15" ht="15">
      <c r="A1171" s="66" t="s">
        <v>217</v>
      </c>
      <c r="B1171" s="66" t="s">
        <v>964</v>
      </c>
      <c r="C1171" s="67"/>
      <c r="D1171" s="68"/>
      <c r="E1171" s="69"/>
      <c r="F1171" s="70"/>
      <c r="G1171" s="67"/>
      <c r="H1171" s="71"/>
      <c r="I1171" s="72"/>
      <c r="J1171" s="72"/>
      <c r="K1171" s="36"/>
      <c r="L1171" s="79">
        <v>1171</v>
      </c>
      <c r="M1171" s="79"/>
      <c r="N1171" s="74"/>
      <c r="O1171" s="81" t="s">
        <v>1235</v>
      </c>
    </row>
    <row r="1172" spans="1:15" ht="15">
      <c r="A1172" s="66" t="s">
        <v>217</v>
      </c>
      <c r="B1172" s="66" t="s">
        <v>965</v>
      </c>
      <c r="C1172" s="67"/>
      <c r="D1172" s="68"/>
      <c r="E1172" s="69"/>
      <c r="F1172" s="70"/>
      <c r="G1172" s="67"/>
      <c r="H1172" s="71"/>
      <c r="I1172" s="72"/>
      <c r="J1172" s="72"/>
      <c r="K1172" s="36"/>
      <c r="L1172" s="79">
        <v>1172</v>
      </c>
      <c r="M1172" s="79"/>
      <c r="N1172" s="74"/>
      <c r="O1172" s="81" t="s">
        <v>1235</v>
      </c>
    </row>
    <row r="1173" spans="1:15" ht="15">
      <c r="A1173" s="66" t="s">
        <v>217</v>
      </c>
      <c r="B1173" s="66" t="s">
        <v>966</v>
      </c>
      <c r="C1173" s="67"/>
      <c r="D1173" s="68"/>
      <c r="E1173" s="69"/>
      <c r="F1173" s="70"/>
      <c r="G1173" s="67"/>
      <c r="H1173" s="71"/>
      <c r="I1173" s="72"/>
      <c r="J1173" s="72"/>
      <c r="K1173" s="36"/>
      <c r="L1173" s="79">
        <v>1173</v>
      </c>
      <c r="M1173" s="79"/>
      <c r="N1173" s="74"/>
      <c r="O1173" s="81" t="s">
        <v>1235</v>
      </c>
    </row>
    <row r="1174" spans="1:15" ht="15">
      <c r="A1174" s="66" t="s">
        <v>217</v>
      </c>
      <c r="B1174" s="66" t="s">
        <v>529</v>
      </c>
      <c r="C1174" s="67"/>
      <c r="D1174" s="68"/>
      <c r="E1174" s="69"/>
      <c r="F1174" s="70"/>
      <c r="G1174" s="67"/>
      <c r="H1174" s="71"/>
      <c r="I1174" s="72"/>
      <c r="J1174" s="72"/>
      <c r="K1174" s="36"/>
      <c r="L1174" s="79">
        <v>1174</v>
      </c>
      <c r="M1174" s="79"/>
      <c r="N1174" s="74"/>
      <c r="O1174" s="81" t="s">
        <v>1235</v>
      </c>
    </row>
    <row r="1175" spans="1:15" ht="15">
      <c r="A1175" s="66" t="s">
        <v>217</v>
      </c>
      <c r="B1175" s="66" t="s">
        <v>967</v>
      </c>
      <c r="C1175" s="67"/>
      <c r="D1175" s="68"/>
      <c r="E1175" s="69"/>
      <c r="F1175" s="70"/>
      <c r="G1175" s="67"/>
      <c r="H1175" s="71"/>
      <c r="I1175" s="72"/>
      <c r="J1175" s="72"/>
      <c r="K1175" s="36"/>
      <c r="L1175" s="79">
        <v>1175</v>
      </c>
      <c r="M1175" s="79"/>
      <c r="N1175" s="74"/>
      <c r="O1175" s="81" t="s">
        <v>1235</v>
      </c>
    </row>
    <row r="1176" spans="1:15" ht="15">
      <c r="A1176" s="66" t="s">
        <v>193</v>
      </c>
      <c r="B1176" s="66" t="s">
        <v>211</v>
      </c>
      <c r="C1176" s="67"/>
      <c r="D1176" s="68"/>
      <c r="E1176" s="69"/>
      <c r="F1176" s="70"/>
      <c r="G1176" s="67"/>
      <c r="H1176" s="71"/>
      <c r="I1176" s="72"/>
      <c r="J1176" s="72"/>
      <c r="K1176" s="36"/>
      <c r="L1176" s="79">
        <v>1176</v>
      </c>
      <c r="M1176" s="79"/>
      <c r="N1176" s="74"/>
      <c r="O1176" s="81" t="s">
        <v>1235</v>
      </c>
    </row>
    <row r="1177" spans="1:15" ht="15">
      <c r="A1177" s="66" t="s">
        <v>211</v>
      </c>
      <c r="B1177" s="66" t="s">
        <v>214</v>
      </c>
      <c r="C1177" s="67"/>
      <c r="D1177" s="68"/>
      <c r="E1177" s="69"/>
      <c r="F1177" s="70"/>
      <c r="G1177" s="67"/>
      <c r="H1177" s="71"/>
      <c r="I1177" s="72"/>
      <c r="J1177" s="72"/>
      <c r="K1177" s="36"/>
      <c r="L1177" s="79">
        <v>1177</v>
      </c>
      <c r="M1177" s="79"/>
      <c r="N1177" s="74"/>
      <c r="O1177" s="81" t="s">
        <v>1235</v>
      </c>
    </row>
    <row r="1178" spans="1:15" ht="15">
      <c r="A1178" s="66" t="s">
        <v>211</v>
      </c>
      <c r="B1178" s="66" t="s">
        <v>484</v>
      </c>
      <c r="C1178" s="67"/>
      <c r="D1178" s="68"/>
      <c r="E1178" s="69"/>
      <c r="F1178" s="70"/>
      <c r="G1178" s="67"/>
      <c r="H1178" s="71"/>
      <c r="I1178" s="72"/>
      <c r="J1178" s="72"/>
      <c r="K1178" s="36"/>
      <c r="L1178" s="79">
        <v>1178</v>
      </c>
      <c r="M1178" s="79"/>
      <c r="N1178" s="74"/>
      <c r="O1178" s="81" t="s">
        <v>1235</v>
      </c>
    </row>
    <row r="1179" spans="1:15" ht="15">
      <c r="A1179" s="66" t="s">
        <v>211</v>
      </c>
      <c r="B1179" s="66" t="s">
        <v>968</v>
      </c>
      <c r="C1179" s="67"/>
      <c r="D1179" s="68"/>
      <c r="E1179" s="69"/>
      <c r="F1179" s="70"/>
      <c r="G1179" s="67"/>
      <c r="H1179" s="71"/>
      <c r="I1179" s="72"/>
      <c r="J1179" s="72"/>
      <c r="K1179" s="36"/>
      <c r="L1179" s="79">
        <v>1179</v>
      </c>
      <c r="M1179" s="79"/>
      <c r="N1179" s="74"/>
      <c r="O1179" s="81" t="s">
        <v>1235</v>
      </c>
    </row>
    <row r="1180" spans="1:15" ht="15">
      <c r="A1180" s="66" t="s">
        <v>211</v>
      </c>
      <c r="B1180" s="66" t="s">
        <v>969</v>
      </c>
      <c r="C1180" s="67"/>
      <c r="D1180" s="68"/>
      <c r="E1180" s="69"/>
      <c r="F1180" s="70"/>
      <c r="G1180" s="67"/>
      <c r="H1180" s="71"/>
      <c r="I1180" s="72"/>
      <c r="J1180" s="72"/>
      <c r="K1180" s="36"/>
      <c r="L1180" s="79">
        <v>1180</v>
      </c>
      <c r="M1180" s="79"/>
      <c r="N1180" s="74"/>
      <c r="O1180" s="81" t="s">
        <v>1235</v>
      </c>
    </row>
    <row r="1181" spans="1:15" ht="15">
      <c r="A1181" s="66" t="s">
        <v>211</v>
      </c>
      <c r="B1181" s="66" t="s">
        <v>526</v>
      </c>
      <c r="C1181" s="67"/>
      <c r="D1181" s="68"/>
      <c r="E1181" s="69"/>
      <c r="F1181" s="70"/>
      <c r="G1181" s="67"/>
      <c r="H1181" s="71"/>
      <c r="I1181" s="72"/>
      <c r="J1181" s="72"/>
      <c r="K1181" s="36"/>
      <c r="L1181" s="79">
        <v>1181</v>
      </c>
      <c r="M1181" s="79"/>
      <c r="N1181" s="74"/>
      <c r="O1181" s="81" t="s">
        <v>1235</v>
      </c>
    </row>
    <row r="1182" spans="1:15" ht="15">
      <c r="A1182" s="66" t="s">
        <v>211</v>
      </c>
      <c r="B1182" s="66" t="s">
        <v>221</v>
      </c>
      <c r="C1182" s="67"/>
      <c r="D1182" s="68"/>
      <c r="E1182" s="69"/>
      <c r="F1182" s="70"/>
      <c r="G1182" s="67"/>
      <c r="H1182" s="71"/>
      <c r="I1182" s="72"/>
      <c r="J1182" s="72"/>
      <c r="K1182" s="36"/>
      <c r="L1182" s="79">
        <v>1182</v>
      </c>
      <c r="M1182" s="79"/>
      <c r="N1182" s="74"/>
      <c r="O1182" s="81" t="s">
        <v>1235</v>
      </c>
    </row>
    <row r="1183" spans="1:15" ht="15">
      <c r="A1183" s="66" t="s">
        <v>211</v>
      </c>
      <c r="B1183" s="66" t="s">
        <v>970</v>
      </c>
      <c r="C1183" s="67"/>
      <c r="D1183" s="68"/>
      <c r="E1183" s="69"/>
      <c r="F1183" s="70"/>
      <c r="G1183" s="67"/>
      <c r="H1183" s="71"/>
      <c r="I1183" s="72"/>
      <c r="J1183" s="72"/>
      <c r="K1183" s="36"/>
      <c r="L1183" s="79">
        <v>1183</v>
      </c>
      <c r="M1183" s="79"/>
      <c r="N1183" s="74"/>
      <c r="O1183" s="81" t="s">
        <v>1235</v>
      </c>
    </row>
    <row r="1184" spans="1:15" ht="15">
      <c r="A1184" s="66" t="s">
        <v>211</v>
      </c>
      <c r="B1184" s="66" t="s">
        <v>295</v>
      </c>
      <c r="C1184" s="67"/>
      <c r="D1184" s="68"/>
      <c r="E1184" s="69"/>
      <c r="F1184" s="70"/>
      <c r="G1184" s="67"/>
      <c r="H1184" s="71"/>
      <c r="I1184" s="72"/>
      <c r="J1184" s="72"/>
      <c r="K1184" s="36"/>
      <c r="L1184" s="79">
        <v>1184</v>
      </c>
      <c r="M1184" s="79"/>
      <c r="N1184" s="74"/>
      <c r="O1184" s="81" t="s">
        <v>1235</v>
      </c>
    </row>
    <row r="1185" spans="1:15" ht="15">
      <c r="A1185" s="66" t="s">
        <v>211</v>
      </c>
      <c r="B1185" s="66" t="s">
        <v>971</v>
      </c>
      <c r="C1185" s="67"/>
      <c r="D1185" s="68"/>
      <c r="E1185" s="69"/>
      <c r="F1185" s="70"/>
      <c r="G1185" s="67"/>
      <c r="H1185" s="71"/>
      <c r="I1185" s="72"/>
      <c r="J1185" s="72"/>
      <c r="K1185" s="36"/>
      <c r="L1185" s="79">
        <v>1185</v>
      </c>
      <c r="M1185" s="79"/>
      <c r="N1185" s="74"/>
      <c r="O1185" s="81" t="s">
        <v>1235</v>
      </c>
    </row>
    <row r="1186" spans="1:15" ht="15">
      <c r="A1186" s="66" t="s">
        <v>211</v>
      </c>
      <c r="B1186" s="66" t="s">
        <v>215</v>
      </c>
      <c r="C1186" s="67"/>
      <c r="D1186" s="68"/>
      <c r="E1186" s="69"/>
      <c r="F1186" s="70"/>
      <c r="G1186" s="67"/>
      <c r="H1186" s="71"/>
      <c r="I1186" s="72"/>
      <c r="J1186" s="72"/>
      <c r="K1186" s="36"/>
      <c r="L1186" s="79">
        <v>1186</v>
      </c>
      <c r="M1186" s="79"/>
      <c r="N1186" s="74"/>
      <c r="O1186" s="81" t="s">
        <v>1235</v>
      </c>
    </row>
    <row r="1187" spans="1:15" ht="15">
      <c r="A1187" s="66" t="s">
        <v>211</v>
      </c>
      <c r="B1187" s="66" t="s">
        <v>223</v>
      </c>
      <c r="C1187" s="67"/>
      <c r="D1187" s="68"/>
      <c r="E1187" s="69"/>
      <c r="F1187" s="70"/>
      <c r="G1187" s="67"/>
      <c r="H1187" s="71"/>
      <c r="I1187" s="72"/>
      <c r="J1187" s="72"/>
      <c r="K1187" s="36"/>
      <c r="L1187" s="79">
        <v>1187</v>
      </c>
      <c r="M1187" s="79"/>
      <c r="N1187" s="74"/>
      <c r="O1187" s="81" t="s">
        <v>1235</v>
      </c>
    </row>
    <row r="1188" spans="1:15" ht="15">
      <c r="A1188" s="66" t="s">
        <v>211</v>
      </c>
      <c r="B1188" s="66" t="s">
        <v>972</v>
      </c>
      <c r="C1188" s="67"/>
      <c r="D1188" s="68"/>
      <c r="E1188" s="69"/>
      <c r="F1188" s="70"/>
      <c r="G1188" s="67"/>
      <c r="H1188" s="71"/>
      <c r="I1188" s="72"/>
      <c r="J1188" s="72"/>
      <c r="K1188" s="36"/>
      <c r="L1188" s="79">
        <v>1188</v>
      </c>
      <c r="M1188" s="79"/>
      <c r="N1188" s="74"/>
      <c r="O1188" s="81" t="s">
        <v>1235</v>
      </c>
    </row>
    <row r="1189" spans="1:15" ht="15">
      <c r="A1189" s="66" t="s">
        <v>211</v>
      </c>
      <c r="B1189" s="66" t="s">
        <v>222</v>
      </c>
      <c r="C1189" s="67"/>
      <c r="D1189" s="68"/>
      <c r="E1189" s="69"/>
      <c r="F1189" s="70"/>
      <c r="G1189" s="67"/>
      <c r="H1189" s="71"/>
      <c r="I1189" s="72"/>
      <c r="J1189" s="72"/>
      <c r="K1189" s="36"/>
      <c r="L1189" s="79">
        <v>1189</v>
      </c>
      <c r="M1189" s="79"/>
      <c r="N1189" s="74"/>
      <c r="O1189" s="81" t="s">
        <v>1235</v>
      </c>
    </row>
    <row r="1190" spans="1:15" ht="15">
      <c r="A1190" s="66" t="s">
        <v>211</v>
      </c>
      <c r="B1190" s="66" t="s">
        <v>225</v>
      </c>
      <c r="C1190" s="67"/>
      <c r="D1190" s="68"/>
      <c r="E1190" s="69"/>
      <c r="F1190" s="70"/>
      <c r="G1190" s="67"/>
      <c r="H1190" s="71"/>
      <c r="I1190" s="72"/>
      <c r="J1190" s="72"/>
      <c r="K1190" s="36"/>
      <c r="L1190" s="79">
        <v>1190</v>
      </c>
      <c r="M1190" s="79"/>
      <c r="N1190" s="74"/>
      <c r="O1190" s="81" t="s">
        <v>1235</v>
      </c>
    </row>
    <row r="1191" spans="1:15" ht="15">
      <c r="A1191" s="66" t="s">
        <v>211</v>
      </c>
      <c r="B1191" s="66" t="s">
        <v>218</v>
      </c>
      <c r="C1191" s="67"/>
      <c r="D1191" s="68"/>
      <c r="E1191" s="69"/>
      <c r="F1191" s="70"/>
      <c r="G1191" s="67"/>
      <c r="H1191" s="71"/>
      <c r="I1191" s="72"/>
      <c r="J1191" s="72"/>
      <c r="K1191" s="36"/>
      <c r="L1191" s="79">
        <v>1191</v>
      </c>
      <c r="M1191" s="79"/>
      <c r="N1191" s="74"/>
      <c r="O1191" s="81" t="s">
        <v>1235</v>
      </c>
    </row>
    <row r="1192" spans="1:15" ht="15">
      <c r="A1192" s="66" t="s">
        <v>211</v>
      </c>
      <c r="B1192" s="66" t="s">
        <v>224</v>
      </c>
      <c r="C1192" s="67"/>
      <c r="D1192" s="68"/>
      <c r="E1192" s="69"/>
      <c r="F1192" s="70"/>
      <c r="G1192" s="67"/>
      <c r="H1192" s="71"/>
      <c r="I1192" s="72"/>
      <c r="J1192" s="72"/>
      <c r="K1192" s="36"/>
      <c r="L1192" s="79">
        <v>1192</v>
      </c>
      <c r="M1192" s="79"/>
      <c r="N1192" s="74"/>
      <c r="O1192" s="81" t="s">
        <v>1235</v>
      </c>
    </row>
    <row r="1193" spans="1:15" ht="15">
      <c r="A1193" s="66" t="s">
        <v>211</v>
      </c>
      <c r="B1193" s="66" t="s">
        <v>227</v>
      </c>
      <c r="C1193" s="67"/>
      <c r="D1193" s="68"/>
      <c r="E1193" s="69"/>
      <c r="F1193" s="70"/>
      <c r="G1193" s="67"/>
      <c r="H1193" s="71"/>
      <c r="I1193" s="72"/>
      <c r="J1193" s="72"/>
      <c r="K1193" s="36"/>
      <c r="L1193" s="79">
        <v>1193</v>
      </c>
      <c r="M1193" s="79"/>
      <c r="N1193" s="74"/>
      <c r="O1193" s="81" t="s">
        <v>1235</v>
      </c>
    </row>
    <row r="1194" spans="1:15" ht="15">
      <c r="A1194" s="66" t="s">
        <v>217</v>
      </c>
      <c r="B1194" s="66" t="s">
        <v>211</v>
      </c>
      <c r="C1194" s="67"/>
      <c r="D1194" s="68"/>
      <c r="E1194" s="69"/>
      <c r="F1194" s="70"/>
      <c r="G1194" s="67"/>
      <c r="H1194" s="71"/>
      <c r="I1194" s="72"/>
      <c r="J1194" s="72"/>
      <c r="K1194" s="36"/>
      <c r="L1194" s="79">
        <v>1194</v>
      </c>
      <c r="M1194" s="79"/>
      <c r="N1194" s="74"/>
      <c r="O1194" s="81" t="s">
        <v>1235</v>
      </c>
    </row>
    <row r="1195" spans="1:15" ht="15">
      <c r="A1195" s="66" t="s">
        <v>217</v>
      </c>
      <c r="B1195" s="66" t="s">
        <v>973</v>
      </c>
      <c r="C1195" s="67"/>
      <c r="D1195" s="68"/>
      <c r="E1195" s="69"/>
      <c r="F1195" s="70"/>
      <c r="G1195" s="67"/>
      <c r="H1195" s="71"/>
      <c r="I1195" s="72"/>
      <c r="J1195" s="72"/>
      <c r="K1195" s="36"/>
      <c r="L1195" s="79">
        <v>1195</v>
      </c>
      <c r="M1195" s="79"/>
      <c r="N1195" s="74"/>
      <c r="O1195" s="81" t="s">
        <v>1235</v>
      </c>
    </row>
    <row r="1196" spans="1:15" ht="15">
      <c r="A1196" s="66" t="s">
        <v>217</v>
      </c>
      <c r="B1196" s="66" t="s">
        <v>974</v>
      </c>
      <c r="C1196" s="67"/>
      <c r="D1196" s="68"/>
      <c r="E1196" s="69"/>
      <c r="F1196" s="70"/>
      <c r="G1196" s="67"/>
      <c r="H1196" s="71"/>
      <c r="I1196" s="72"/>
      <c r="J1196" s="72"/>
      <c r="K1196" s="36"/>
      <c r="L1196" s="79">
        <v>1196</v>
      </c>
      <c r="M1196" s="79"/>
      <c r="N1196" s="74"/>
      <c r="O1196" s="81" t="s">
        <v>1235</v>
      </c>
    </row>
    <row r="1197" spans="1:15" ht="15">
      <c r="A1197" s="66" t="s">
        <v>217</v>
      </c>
      <c r="B1197" s="66" t="s">
        <v>216</v>
      </c>
      <c r="C1197" s="67"/>
      <c r="D1197" s="68"/>
      <c r="E1197" s="69"/>
      <c r="F1197" s="70"/>
      <c r="G1197" s="67"/>
      <c r="H1197" s="71"/>
      <c r="I1197" s="72"/>
      <c r="J1197" s="72"/>
      <c r="K1197" s="36"/>
      <c r="L1197" s="79">
        <v>1197</v>
      </c>
      <c r="M1197" s="79"/>
      <c r="N1197" s="74"/>
      <c r="O1197" s="81" t="s">
        <v>1235</v>
      </c>
    </row>
    <row r="1198" spans="1:15" ht="15">
      <c r="A1198" s="66" t="s">
        <v>217</v>
      </c>
      <c r="B1198" s="66" t="s">
        <v>214</v>
      </c>
      <c r="C1198" s="67"/>
      <c r="D1198" s="68"/>
      <c r="E1198" s="69"/>
      <c r="F1198" s="70"/>
      <c r="G1198" s="67"/>
      <c r="H1198" s="71"/>
      <c r="I1198" s="72"/>
      <c r="J1198" s="72"/>
      <c r="K1198" s="36"/>
      <c r="L1198" s="79">
        <v>1198</v>
      </c>
      <c r="M1198" s="79"/>
      <c r="N1198" s="74"/>
      <c r="O1198" s="81" t="s">
        <v>1235</v>
      </c>
    </row>
    <row r="1199" spans="1:15" ht="15">
      <c r="A1199" s="66" t="s">
        <v>217</v>
      </c>
      <c r="B1199" s="66" t="s">
        <v>218</v>
      </c>
      <c r="C1199" s="67"/>
      <c r="D1199" s="68"/>
      <c r="E1199" s="69"/>
      <c r="F1199" s="70"/>
      <c r="G1199" s="67"/>
      <c r="H1199" s="71"/>
      <c r="I1199" s="72"/>
      <c r="J1199" s="72"/>
      <c r="K1199" s="36"/>
      <c r="L1199" s="79">
        <v>1199</v>
      </c>
      <c r="M1199" s="79"/>
      <c r="N1199" s="74"/>
      <c r="O1199" s="81" t="s">
        <v>1235</v>
      </c>
    </row>
    <row r="1200" spans="1:15" ht="15">
      <c r="A1200" s="66" t="s">
        <v>218</v>
      </c>
      <c r="B1200" s="66" t="s">
        <v>975</v>
      </c>
      <c r="C1200" s="67"/>
      <c r="D1200" s="68"/>
      <c r="E1200" s="69"/>
      <c r="F1200" s="70"/>
      <c r="G1200" s="67"/>
      <c r="H1200" s="71"/>
      <c r="I1200" s="72"/>
      <c r="J1200" s="72"/>
      <c r="K1200" s="36"/>
      <c r="L1200" s="79">
        <v>1200</v>
      </c>
      <c r="M1200" s="79"/>
      <c r="N1200" s="74"/>
      <c r="O1200" s="81" t="s">
        <v>1235</v>
      </c>
    </row>
    <row r="1201" spans="1:15" ht="15">
      <c r="A1201" s="66" t="s">
        <v>218</v>
      </c>
      <c r="B1201" s="66" t="s">
        <v>976</v>
      </c>
      <c r="C1201" s="67"/>
      <c r="D1201" s="68"/>
      <c r="E1201" s="69"/>
      <c r="F1201" s="70"/>
      <c r="G1201" s="67"/>
      <c r="H1201" s="71"/>
      <c r="I1201" s="72"/>
      <c r="J1201" s="72"/>
      <c r="K1201" s="36"/>
      <c r="L1201" s="79">
        <v>1201</v>
      </c>
      <c r="M1201" s="79"/>
      <c r="N1201" s="74"/>
      <c r="O1201" s="81" t="s">
        <v>1235</v>
      </c>
    </row>
    <row r="1202" spans="1:15" ht="15">
      <c r="A1202" s="66" t="s">
        <v>218</v>
      </c>
      <c r="B1202" s="66" t="s">
        <v>388</v>
      </c>
      <c r="C1202" s="67"/>
      <c r="D1202" s="68"/>
      <c r="E1202" s="69"/>
      <c r="F1202" s="70"/>
      <c r="G1202" s="67"/>
      <c r="H1202" s="71"/>
      <c r="I1202" s="72"/>
      <c r="J1202" s="72"/>
      <c r="K1202" s="36"/>
      <c r="L1202" s="79">
        <v>1202</v>
      </c>
      <c r="M1202" s="79"/>
      <c r="N1202" s="74"/>
      <c r="O1202" s="81" t="s">
        <v>1235</v>
      </c>
    </row>
    <row r="1203" spans="1:15" ht="15">
      <c r="A1203" s="66" t="s">
        <v>218</v>
      </c>
      <c r="B1203" s="66" t="s">
        <v>977</v>
      </c>
      <c r="C1203" s="67"/>
      <c r="D1203" s="68"/>
      <c r="E1203" s="69"/>
      <c r="F1203" s="70"/>
      <c r="G1203" s="67"/>
      <c r="H1203" s="71"/>
      <c r="I1203" s="72"/>
      <c r="J1203" s="72"/>
      <c r="K1203" s="36"/>
      <c r="L1203" s="79">
        <v>1203</v>
      </c>
      <c r="M1203" s="79"/>
      <c r="N1203" s="74"/>
      <c r="O1203" s="81" t="s">
        <v>1235</v>
      </c>
    </row>
    <row r="1204" spans="1:15" ht="15">
      <c r="A1204" s="66" t="s">
        <v>218</v>
      </c>
      <c r="B1204" s="66" t="s">
        <v>968</v>
      </c>
      <c r="C1204" s="67"/>
      <c r="D1204" s="68"/>
      <c r="E1204" s="69"/>
      <c r="F1204" s="70"/>
      <c r="G1204" s="67"/>
      <c r="H1204" s="71"/>
      <c r="I1204" s="72"/>
      <c r="J1204" s="72"/>
      <c r="K1204" s="36"/>
      <c r="L1204" s="79">
        <v>1204</v>
      </c>
      <c r="M1204" s="79"/>
      <c r="N1204" s="74"/>
      <c r="O1204" s="81" t="s">
        <v>1235</v>
      </c>
    </row>
    <row r="1205" spans="1:15" ht="15">
      <c r="A1205" s="66" t="s">
        <v>218</v>
      </c>
      <c r="B1205" s="66" t="s">
        <v>978</v>
      </c>
      <c r="C1205" s="67"/>
      <c r="D1205" s="68"/>
      <c r="E1205" s="69"/>
      <c r="F1205" s="70"/>
      <c r="G1205" s="67"/>
      <c r="H1205" s="71"/>
      <c r="I1205" s="72"/>
      <c r="J1205" s="72"/>
      <c r="K1205" s="36"/>
      <c r="L1205" s="79">
        <v>1205</v>
      </c>
      <c r="M1205" s="79"/>
      <c r="N1205" s="74"/>
      <c r="O1205" s="81" t="s">
        <v>1235</v>
      </c>
    </row>
    <row r="1206" spans="1:15" ht="15">
      <c r="A1206" s="66" t="s">
        <v>218</v>
      </c>
      <c r="B1206" s="66" t="s">
        <v>979</v>
      </c>
      <c r="C1206" s="67"/>
      <c r="D1206" s="68"/>
      <c r="E1206" s="69"/>
      <c r="F1206" s="70"/>
      <c r="G1206" s="67"/>
      <c r="H1206" s="71"/>
      <c r="I1206" s="72"/>
      <c r="J1206" s="72"/>
      <c r="K1206" s="36"/>
      <c r="L1206" s="79">
        <v>1206</v>
      </c>
      <c r="M1206" s="79"/>
      <c r="N1206" s="74"/>
      <c r="O1206" s="81" t="s">
        <v>1235</v>
      </c>
    </row>
    <row r="1207" spans="1:15" ht="15">
      <c r="A1207" s="66" t="s">
        <v>218</v>
      </c>
      <c r="B1207" s="66" t="s">
        <v>980</v>
      </c>
      <c r="C1207" s="67"/>
      <c r="D1207" s="68"/>
      <c r="E1207" s="69"/>
      <c r="F1207" s="70"/>
      <c r="G1207" s="67"/>
      <c r="H1207" s="71"/>
      <c r="I1207" s="72"/>
      <c r="J1207" s="72"/>
      <c r="K1207" s="36"/>
      <c r="L1207" s="79">
        <v>1207</v>
      </c>
      <c r="M1207" s="79"/>
      <c r="N1207" s="74"/>
      <c r="O1207" s="81" t="s">
        <v>1235</v>
      </c>
    </row>
    <row r="1208" spans="1:15" ht="15">
      <c r="A1208" s="66" t="s">
        <v>218</v>
      </c>
      <c r="B1208" s="66" t="s">
        <v>646</v>
      </c>
      <c r="C1208" s="67"/>
      <c r="D1208" s="68"/>
      <c r="E1208" s="69"/>
      <c r="F1208" s="70"/>
      <c r="G1208" s="67"/>
      <c r="H1208" s="71"/>
      <c r="I1208" s="72"/>
      <c r="J1208" s="72"/>
      <c r="K1208" s="36"/>
      <c r="L1208" s="79">
        <v>1208</v>
      </c>
      <c r="M1208" s="79"/>
      <c r="N1208" s="74"/>
      <c r="O1208" s="81" t="s">
        <v>1235</v>
      </c>
    </row>
    <row r="1209" spans="1:15" ht="15">
      <c r="A1209" s="66" t="s">
        <v>218</v>
      </c>
      <c r="B1209" s="66" t="s">
        <v>981</v>
      </c>
      <c r="C1209" s="67"/>
      <c r="D1209" s="68"/>
      <c r="E1209" s="69"/>
      <c r="F1209" s="70"/>
      <c r="G1209" s="67"/>
      <c r="H1209" s="71"/>
      <c r="I1209" s="72"/>
      <c r="J1209" s="72"/>
      <c r="K1209" s="36"/>
      <c r="L1209" s="79">
        <v>1209</v>
      </c>
      <c r="M1209" s="79"/>
      <c r="N1209" s="74"/>
      <c r="O1209" s="81" t="s">
        <v>1235</v>
      </c>
    </row>
    <row r="1210" spans="1:15" ht="15">
      <c r="A1210" s="66" t="s">
        <v>188</v>
      </c>
      <c r="B1210" s="66" t="s">
        <v>342</v>
      </c>
      <c r="C1210" s="67"/>
      <c r="D1210" s="68"/>
      <c r="E1210" s="69"/>
      <c r="F1210" s="70"/>
      <c r="G1210" s="67"/>
      <c r="H1210" s="71"/>
      <c r="I1210" s="72"/>
      <c r="J1210" s="72"/>
      <c r="K1210" s="36"/>
      <c r="L1210" s="79">
        <v>1210</v>
      </c>
      <c r="M1210" s="79"/>
      <c r="N1210" s="74"/>
      <c r="O1210" s="81" t="s">
        <v>1235</v>
      </c>
    </row>
    <row r="1211" spans="1:15" ht="15">
      <c r="A1211" s="66" t="s">
        <v>214</v>
      </c>
      <c r="B1211" s="66" t="s">
        <v>342</v>
      </c>
      <c r="C1211" s="67"/>
      <c r="D1211" s="68"/>
      <c r="E1211" s="69"/>
      <c r="F1211" s="70"/>
      <c r="G1211" s="67"/>
      <c r="H1211" s="71"/>
      <c r="I1211" s="72"/>
      <c r="J1211" s="72"/>
      <c r="K1211" s="36"/>
      <c r="L1211" s="79">
        <v>1211</v>
      </c>
      <c r="M1211" s="79"/>
      <c r="N1211" s="74"/>
      <c r="O1211" s="81" t="s">
        <v>1235</v>
      </c>
    </row>
    <row r="1212" spans="1:15" ht="15">
      <c r="A1212" s="66" t="s">
        <v>218</v>
      </c>
      <c r="B1212" s="66" t="s">
        <v>342</v>
      </c>
      <c r="C1212" s="67"/>
      <c r="D1212" s="68"/>
      <c r="E1212" s="69"/>
      <c r="F1212" s="70"/>
      <c r="G1212" s="67"/>
      <c r="H1212" s="71"/>
      <c r="I1212" s="72"/>
      <c r="J1212" s="72"/>
      <c r="K1212" s="36"/>
      <c r="L1212" s="79">
        <v>1212</v>
      </c>
      <c r="M1212" s="79"/>
      <c r="N1212" s="74"/>
      <c r="O1212" s="81" t="s">
        <v>1235</v>
      </c>
    </row>
    <row r="1213" spans="1:15" ht="15">
      <c r="A1213" s="66" t="s">
        <v>188</v>
      </c>
      <c r="B1213" s="66" t="s">
        <v>284</v>
      </c>
      <c r="C1213" s="67"/>
      <c r="D1213" s="68"/>
      <c r="E1213" s="69"/>
      <c r="F1213" s="70"/>
      <c r="G1213" s="67"/>
      <c r="H1213" s="71"/>
      <c r="I1213" s="72"/>
      <c r="J1213" s="72"/>
      <c r="K1213" s="36"/>
      <c r="L1213" s="79">
        <v>1213</v>
      </c>
      <c r="M1213" s="79"/>
      <c r="N1213" s="74"/>
      <c r="O1213" s="81" t="s">
        <v>1235</v>
      </c>
    </row>
    <row r="1214" spans="1:15" ht="15">
      <c r="A1214" s="66" t="s">
        <v>218</v>
      </c>
      <c r="B1214" s="66" t="s">
        <v>284</v>
      </c>
      <c r="C1214" s="67"/>
      <c r="D1214" s="68"/>
      <c r="E1214" s="69"/>
      <c r="F1214" s="70"/>
      <c r="G1214" s="67"/>
      <c r="H1214" s="71"/>
      <c r="I1214" s="72"/>
      <c r="J1214" s="72"/>
      <c r="K1214" s="36"/>
      <c r="L1214" s="79">
        <v>1214</v>
      </c>
      <c r="M1214" s="79"/>
      <c r="N1214" s="74"/>
      <c r="O1214" s="81" t="s">
        <v>1235</v>
      </c>
    </row>
    <row r="1215" spans="1:15" ht="15">
      <c r="A1215" s="66" t="s">
        <v>216</v>
      </c>
      <c r="B1215" s="66" t="s">
        <v>982</v>
      </c>
      <c r="C1215" s="67"/>
      <c r="D1215" s="68"/>
      <c r="E1215" s="69"/>
      <c r="F1215" s="70"/>
      <c r="G1215" s="67"/>
      <c r="H1215" s="71"/>
      <c r="I1215" s="72"/>
      <c r="J1215" s="72"/>
      <c r="K1215" s="36"/>
      <c r="L1215" s="79">
        <v>1215</v>
      </c>
      <c r="M1215" s="79"/>
      <c r="N1215" s="74"/>
      <c r="O1215" s="81" t="s">
        <v>1235</v>
      </c>
    </row>
    <row r="1216" spans="1:15" ht="15">
      <c r="A1216" s="66" t="s">
        <v>218</v>
      </c>
      <c r="B1216" s="66" t="s">
        <v>982</v>
      </c>
      <c r="C1216" s="67"/>
      <c r="D1216" s="68"/>
      <c r="E1216" s="69"/>
      <c r="F1216" s="70"/>
      <c r="G1216" s="67"/>
      <c r="H1216" s="71"/>
      <c r="I1216" s="72"/>
      <c r="J1216" s="72"/>
      <c r="K1216" s="36"/>
      <c r="L1216" s="79">
        <v>1216</v>
      </c>
      <c r="M1216" s="79"/>
      <c r="N1216" s="74"/>
      <c r="O1216" s="81" t="s">
        <v>1235</v>
      </c>
    </row>
    <row r="1217" spans="1:15" ht="15">
      <c r="A1217" s="66" t="s">
        <v>218</v>
      </c>
      <c r="B1217" s="66" t="s">
        <v>346</v>
      </c>
      <c r="C1217" s="67"/>
      <c r="D1217" s="68"/>
      <c r="E1217" s="69"/>
      <c r="F1217" s="70"/>
      <c r="G1217" s="67"/>
      <c r="H1217" s="71"/>
      <c r="I1217" s="72"/>
      <c r="J1217" s="72"/>
      <c r="K1217" s="36"/>
      <c r="L1217" s="79">
        <v>1217</v>
      </c>
      <c r="M1217" s="79"/>
      <c r="N1217" s="74"/>
      <c r="O1217" s="81" t="s">
        <v>1235</v>
      </c>
    </row>
    <row r="1218" spans="1:15" ht="15">
      <c r="A1218" s="66" t="s">
        <v>218</v>
      </c>
      <c r="B1218" s="66" t="s">
        <v>647</v>
      </c>
      <c r="C1218" s="67"/>
      <c r="D1218" s="68"/>
      <c r="E1218" s="69"/>
      <c r="F1218" s="70"/>
      <c r="G1218" s="67"/>
      <c r="H1218" s="71"/>
      <c r="I1218" s="72"/>
      <c r="J1218" s="72"/>
      <c r="K1218" s="36"/>
      <c r="L1218" s="79">
        <v>1218</v>
      </c>
      <c r="M1218" s="79"/>
      <c r="N1218" s="74"/>
      <c r="O1218" s="81" t="s">
        <v>1235</v>
      </c>
    </row>
    <row r="1219" spans="1:15" ht="15">
      <c r="A1219" s="66" t="s">
        <v>218</v>
      </c>
      <c r="B1219" s="66" t="s">
        <v>983</v>
      </c>
      <c r="C1219" s="67"/>
      <c r="D1219" s="68"/>
      <c r="E1219" s="69"/>
      <c r="F1219" s="70"/>
      <c r="G1219" s="67"/>
      <c r="H1219" s="71"/>
      <c r="I1219" s="72"/>
      <c r="J1219" s="72"/>
      <c r="K1219" s="36"/>
      <c r="L1219" s="79">
        <v>1219</v>
      </c>
      <c r="M1219" s="79"/>
      <c r="N1219" s="74"/>
      <c r="O1219" s="81" t="s">
        <v>1235</v>
      </c>
    </row>
    <row r="1220" spans="1:15" ht="15">
      <c r="A1220" s="66" t="s">
        <v>218</v>
      </c>
      <c r="B1220" s="66" t="s">
        <v>984</v>
      </c>
      <c r="C1220" s="67"/>
      <c r="D1220" s="68"/>
      <c r="E1220" s="69"/>
      <c r="F1220" s="70"/>
      <c r="G1220" s="67"/>
      <c r="H1220" s="71"/>
      <c r="I1220" s="72"/>
      <c r="J1220" s="72"/>
      <c r="K1220" s="36"/>
      <c r="L1220" s="79">
        <v>1220</v>
      </c>
      <c r="M1220" s="79"/>
      <c r="N1220" s="74"/>
      <c r="O1220" s="81" t="s">
        <v>1235</v>
      </c>
    </row>
    <row r="1221" spans="1:15" ht="15">
      <c r="A1221" s="66" t="s">
        <v>218</v>
      </c>
      <c r="B1221" s="66" t="s">
        <v>386</v>
      </c>
      <c r="C1221" s="67"/>
      <c r="D1221" s="68"/>
      <c r="E1221" s="69"/>
      <c r="F1221" s="70"/>
      <c r="G1221" s="67"/>
      <c r="H1221" s="71"/>
      <c r="I1221" s="72"/>
      <c r="J1221" s="72"/>
      <c r="K1221" s="36"/>
      <c r="L1221" s="79">
        <v>1221</v>
      </c>
      <c r="M1221" s="79"/>
      <c r="N1221" s="74"/>
      <c r="O1221" s="81" t="s">
        <v>1235</v>
      </c>
    </row>
    <row r="1222" spans="1:15" ht="15">
      <c r="A1222" s="66" t="s">
        <v>218</v>
      </c>
      <c r="B1222" s="66" t="s">
        <v>567</v>
      </c>
      <c r="C1222" s="67"/>
      <c r="D1222" s="68"/>
      <c r="E1222" s="69"/>
      <c r="F1222" s="70"/>
      <c r="G1222" s="67"/>
      <c r="H1222" s="71"/>
      <c r="I1222" s="72"/>
      <c r="J1222" s="72"/>
      <c r="K1222" s="36"/>
      <c r="L1222" s="79">
        <v>1222</v>
      </c>
      <c r="M1222" s="79"/>
      <c r="N1222" s="74"/>
      <c r="O1222" s="81" t="s">
        <v>1235</v>
      </c>
    </row>
    <row r="1223" spans="1:15" ht="15">
      <c r="A1223" s="66" t="s">
        <v>218</v>
      </c>
      <c r="B1223" s="66" t="s">
        <v>985</v>
      </c>
      <c r="C1223" s="67"/>
      <c r="D1223" s="68"/>
      <c r="E1223" s="69"/>
      <c r="F1223" s="70"/>
      <c r="G1223" s="67"/>
      <c r="H1223" s="71"/>
      <c r="I1223" s="72"/>
      <c r="J1223" s="72"/>
      <c r="K1223" s="36"/>
      <c r="L1223" s="79">
        <v>1223</v>
      </c>
      <c r="M1223" s="79"/>
      <c r="N1223" s="74"/>
      <c r="O1223" s="81" t="s">
        <v>1235</v>
      </c>
    </row>
    <row r="1224" spans="1:15" ht="15">
      <c r="A1224" s="66" t="s">
        <v>218</v>
      </c>
      <c r="B1224" s="66" t="s">
        <v>986</v>
      </c>
      <c r="C1224" s="67"/>
      <c r="D1224" s="68"/>
      <c r="E1224" s="69"/>
      <c r="F1224" s="70"/>
      <c r="G1224" s="67"/>
      <c r="H1224" s="71"/>
      <c r="I1224" s="72"/>
      <c r="J1224" s="72"/>
      <c r="K1224" s="36"/>
      <c r="L1224" s="79">
        <v>1224</v>
      </c>
      <c r="M1224" s="79"/>
      <c r="N1224" s="74"/>
      <c r="O1224" s="81" t="s">
        <v>1235</v>
      </c>
    </row>
    <row r="1225" spans="1:15" ht="15">
      <c r="A1225" s="66" t="s">
        <v>214</v>
      </c>
      <c r="B1225" s="66" t="s">
        <v>476</v>
      </c>
      <c r="C1225" s="67"/>
      <c r="D1225" s="68"/>
      <c r="E1225" s="69"/>
      <c r="F1225" s="70"/>
      <c r="G1225" s="67"/>
      <c r="H1225" s="71"/>
      <c r="I1225" s="72"/>
      <c r="J1225" s="72"/>
      <c r="K1225" s="36"/>
      <c r="L1225" s="79">
        <v>1225</v>
      </c>
      <c r="M1225" s="79"/>
      <c r="N1225" s="74"/>
      <c r="O1225" s="81" t="s">
        <v>1235</v>
      </c>
    </row>
    <row r="1226" spans="1:15" ht="15">
      <c r="A1226" s="66" t="s">
        <v>218</v>
      </c>
      <c r="B1226" s="66" t="s">
        <v>476</v>
      </c>
      <c r="C1226" s="67"/>
      <c r="D1226" s="68"/>
      <c r="E1226" s="69"/>
      <c r="F1226" s="70"/>
      <c r="G1226" s="67"/>
      <c r="H1226" s="71"/>
      <c r="I1226" s="72"/>
      <c r="J1226" s="72"/>
      <c r="K1226" s="36"/>
      <c r="L1226" s="79">
        <v>1226</v>
      </c>
      <c r="M1226" s="79"/>
      <c r="N1226" s="74"/>
      <c r="O1226" s="81" t="s">
        <v>1235</v>
      </c>
    </row>
    <row r="1227" spans="1:15" ht="15">
      <c r="A1227" s="66" t="s">
        <v>216</v>
      </c>
      <c r="B1227" s="66" t="s">
        <v>900</v>
      </c>
      <c r="C1227" s="67"/>
      <c r="D1227" s="68"/>
      <c r="E1227" s="69"/>
      <c r="F1227" s="70"/>
      <c r="G1227" s="67"/>
      <c r="H1227" s="71"/>
      <c r="I1227" s="72"/>
      <c r="J1227" s="72"/>
      <c r="K1227" s="36"/>
      <c r="L1227" s="79">
        <v>1227</v>
      </c>
      <c r="M1227" s="79"/>
      <c r="N1227" s="74"/>
      <c r="O1227" s="81" t="s">
        <v>1235</v>
      </c>
    </row>
    <row r="1228" spans="1:15" ht="15">
      <c r="A1228" s="66" t="s">
        <v>218</v>
      </c>
      <c r="B1228" s="66" t="s">
        <v>900</v>
      </c>
      <c r="C1228" s="67"/>
      <c r="D1228" s="68"/>
      <c r="E1228" s="69"/>
      <c r="F1228" s="70"/>
      <c r="G1228" s="67"/>
      <c r="H1228" s="71"/>
      <c r="I1228" s="72"/>
      <c r="J1228" s="72"/>
      <c r="K1228" s="36"/>
      <c r="L1228" s="79">
        <v>1228</v>
      </c>
      <c r="M1228" s="79"/>
      <c r="N1228" s="74"/>
      <c r="O1228" s="81" t="s">
        <v>1235</v>
      </c>
    </row>
    <row r="1229" spans="1:15" ht="15">
      <c r="A1229" s="66" t="s">
        <v>218</v>
      </c>
      <c r="B1229" s="66" t="s">
        <v>987</v>
      </c>
      <c r="C1229" s="67"/>
      <c r="D1229" s="68"/>
      <c r="E1229" s="69"/>
      <c r="F1229" s="70"/>
      <c r="G1229" s="67"/>
      <c r="H1229" s="71"/>
      <c r="I1229" s="72"/>
      <c r="J1229" s="72"/>
      <c r="K1229" s="36"/>
      <c r="L1229" s="79">
        <v>1229</v>
      </c>
      <c r="M1229" s="79"/>
      <c r="N1229" s="74"/>
      <c r="O1229" s="81" t="s">
        <v>1235</v>
      </c>
    </row>
    <row r="1230" spans="1:15" ht="15">
      <c r="A1230" s="66" t="s">
        <v>206</v>
      </c>
      <c r="B1230" s="66" t="s">
        <v>216</v>
      </c>
      <c r="C1230" s="67"/>
      <c r="D1230" s="68"/>
      <c r="E1230" s="69"/>
      <c r="F1230" s="70"/>
      <c r="G1230" s="67"/>
      <c r="H1230" s="71"/>
      <c r="I1230" s="72"/>
      <c r="J1230" s="72"/>
      <c r="K1230" s="36"/>
      <c r="L1230" s="79">
        <v>1230</v>
      </c>
      <c r="M1230" s="79"/>
      <c r="N1230" s="74"/>
      <c r="O1230" s="81" t="s">
        <v>1235</v>
      </c>
    </row>
    <row r="1231" spans="1:15" ht="15">
      <c r="A1231" s="66" t="s">
        <v>218</v>
      </c>
      <c r="B1231" s="66" t="s">
        <v>206</v>
      </c>
      <c r="C1231" s="67"/>
      <c r="D1231" s="68"/>
      <c r="E1231" s="69"/>
      <c r="F1231" s="70"/>
      <c r="G1231" s="67"/>
      <c r="H1231" s="71"/>
      <c r="I1231" s="72"/>
      <c r="J1231" s="72"/>
      <c r="K1231" s="36"/>
      <c r="L1231" s="79">
        <v>1231</v>
      </c>
      <c r="M1231" s="79"/>
      <c r="N1231" s="74"/>
      <c r="O1231" s="81" t="s">
        <v>1235</v>
      </c>
    </row>
    <row r="1232" spans="1:15" ht="15">
      <c r="A1232" s="66" t="s">
        <v>219</v>
      </c>
      <c r="B1232" s="66" t="s">
        <v>988</v>
      </c>
      <c r="C1232" s="67"/>
      <c r="D1232" s="68"/>
      <c r="E1232" s="69"/>
      <c r="F1232" s="70"/>
      <c r="G1232" s="67"/>
      <c r="H1232" s="71"/>
      <c r="I1232" s="72"/>
      <c r="J1232" s="72"/>
      <c r="K1232" s="36"/>
      <c r="L1232" s="79">
        <v>1232</v>
      </c>
      <c r="M1232" s="79"/>
      <c r="N1232" s="74"/>
      <c r="O1232" s="81" t="s">
        <v>1235</v>
      </c>
    </row>
    <row r="1233" spans="1:15" ht="15">
      <c r="A1233" s="66" t="s">
        <v>216</v>
      </c>
      <c r="B1233" s="66" t="s">
        <v>743</v>
      </c>
      <c r="C1233" s="67"/>
      <c r="D1233" s="68"/>
      <c r="E1233" s="69"/>
      <c r="F1233" s="70"/>
      <c r="G1233" s="67"/>
      <c r="H1233" s="71"/>
      <c r="I1233" s="72"/>
      <c r="J1233" s="72"/>
      <c r="K1233" s="36"/>
      <c r="L1233" s="79">
        <v>1233</v>
      </c>
      <c r="M1233" s="79"/>
      <c r="N1233" s="74"/>
      <c r="O1233" s="81" t="s">
        <v>1235</v>
      </c>
    </row>
    <row r="1234" spans="1:15" ht="15">
      <c r="A1234" s="66" t="s">
        <v>219</v>
      </c>
      <c r="B1234" s="66" t="s">
        <v>743</v>
      </c>
      <c r="C1234" s="67"/>
      <c r="D1234" s="68"/>
      <c r="E1234" s="69"/>
      <c r="F1234" s="70"/>
      <c r="G1234" s="67"/>
      <c r="H1234" s="71"/>
      <c r="I1234" s="72"/>
      <c r="J1234" s="72"/>
      <c r="K1234" s="36"/>
      <c r="L1234" s="79">
        <v>1234</v>
      </c>
      <c r="M1234" s="79"/>
      <c r="N1234" s="74"/>
      <c r="O1234" s="81" t="s">
        <v>1235</v>
      </c>
    </row>
    <row r="1235" spans="1:15" ht="15">
      <c r="A1235" s="66" t="s">
        <v>193</v>
      </c>
      <c r="B1235" s="66" t="s">
        <v>216</v>
      </c>
      <c r="C1235" s="67"/>
      <c r="D1235" s="68"/>
      <c r="E1235" s="69"/>
      <c r="F1235" s="70"/>
      <c r="G1235" s="67"/>
      <c r="H1235" s="71"/>
      <c r="I1235" s="72"/>
      <c r="J1235" s="72"/>
      <c r="K1235" s="36"/>
      <c r="L1235" s="79">
        <v>1235</v>
      </c>
      <c r="M1235" s="79"/>
      <c r="N1235" s="74"/>
      <c r="O1235" s="81" t="s">
        <v>1235</v>
      </c>
    </row>
    <row r="1236" spans="1:15" ht="15">
      <c r="A1236" s="66" t="s">
        <v>216</v>
      </c>
      <c r="B1236" s="66" t="s">
        <v>295</v>
      </c>
      <c r="C1236" s="67"/>
      <c r="D1236" s="68"/>
      <c r="E1236" s="69"/>
      <c r="F1236" s="70"/>
      <c r="G1236" s="67"/>
      <c r="H1236" s="71"/>
      <c r="I1236" s="72"/>
      <c r="J1236" s="72"/>
      <c r="K1236" s="36"/>
      <c r="L1236" s="79">
        <v>1236</v>
      </c>
      <c r="M1236" s="79"/>
      <c r="N1236" s="74"/>
      <c r="O1236" s="81" t="s">
        <v>1235</v>
      </c>
    </row>
    <row r="1237" spans="1:15" ht="15">
      <c r="A1237" s="66" t="s">
        <v>216</v>
      </c>
      <c r="B1237" s="66" t="s">
        <v>484</v>
      </c>
      <c r="C1237" s="67"/>
      <c r="D1237" s="68"/>
      <c r="E1237" s="69"/>
      <c r="F1237" s="70"/>
      <c r="G1237" s="67"/>
      <c r="H1237" s="71"/>
      <c r="I1237" s="72"/>
      <c r="J1237" s="72"/>
      <c r="K1237" s="36"/>
      <c r="L1237" s="79">
        <v>1237</v>
      </c>
      <c r="M1237" s="79"/>
      <c r="N1237" s="74"/>
      <c r="O1237" s="81" t="s">
        <v>1235</v>
      </c>
    </row>
    <row r="1238" spans="1:15" ht="15">
      <c r="A1238" s="66" t="s">
        <v>216</v>
      </c>
      <c r="B1238" s="66" t="s">
        <v>742</v>
      </c>
      <c r="C1238" s="67"/>
      <c r="D1238" s="68"/>
      <c r="E1238" s="69"/>
      <c r="F1238" s="70"/>
      <c r="G1238" s="67"/>
      <c r="H1238" s="71"/>
      <c r="I1238" s="72"/>
      <c r="J1238" s="72"/>
      <c r="K1238" s="36"/>
      <c r="L1238" s="79">
        <v>1238</v>
      </c>
      <c r="M1238" s="79"/>
      <c r="N1238" s="74"/>
      <c r="O1238" s="81" t="s">
        <v>1235</v>
      </c>
    </row>
    <row r="1239" spans="1:15" ht="15">
      <c r="A1239" s="66" t="s">
        <v>216</v>
      </c>
      <c r="B1239" s="66" t="s">
        <v>971</v>
      </c>
      <c r="C1239" s="67"/>
      <c r="D1239" s="68"/>
      <c r="E1239" s="69"/>
      <c r="F1239" s="70"/>
      <c r="G1239" s="67"/>
      <c r="H1239" s="71"/>
      <c r="I1239" s="72"/>
      <c r="J1239" s="72"/>
      <c r="K1239" s="36"/>
      <c r="L1239" s="79">
        <v>1239</v>
      </c>
      <c r="M1239" s="79"/>
      <c r="N1239" s="74"/>
      <c r="O1239" s="81" t="s">
        <v>1235</v>
      </c>
    </row>
    <row r="1240" spans="1:15" ht="15">
      <c r="A1240" s="66" t="s">
        <v>216</v>
      </c>
      <c r="B1240" s="66" t="s">
        <v>989</v>
      </c>
      <c r="C1240" s="67"/>
      <c r="D1240" s="68"/>
      <c r="E1240" s="69"/>
      <c r="F1240" s="70"/>
      <c r="G1240" s="67"/>
      <c r="H1240" s="71"/>
      <c r="I1240" s="72"/>
      <c r="J1240" s="72"/>
      <c r="K1240" s="36"/>
      <c r="L1240" s="79">
        <v>1240</v>
      </c>
      <c r="M1240" s="79"/>
      <c r="N1240" s="74"/>
      <c r="O1240" s="81" t="s">
        <v>1235</v>
      </c>
    </row>
    <row r="1241" spans="1:15" ht="15">
      <c r="A1241" s="66" t="s">
        <v>216</v>
      </c>
      <c r="B1241" s="66" t="s">
        <v>744</v>
      </c>
      <c r="C1241" s="67"/>
      <c r="D1241" s="68"/>
      <c r="E1241" s="69"/>
      <c r="F1241" s="70"/>
      <c r="G1241" s="67"/>
      <c r="H1241" s="71"/>
      <c r="I1241" s="72"/>
      <c r="J1241" s="72"/>
      <c r="K1241" s="36"/>
      <c r="L1241" s="79">
        <v>1241</v>
      </c>
      <c r="M1241" s="79"/>
      <c r="N1241" s="74"/>
      <c r="O1241" s="81" t="s">
        <v>1235</v>
      </c>
    </row>
    <row r="1242" spans="1:15" ht="15">
      <c r="A1242" s="66" t="s">
        <v>216</v>
      </c>
      <c r="B1242" s="66" t="s">
        <v>220</v>
      </c>
      <c r="C1242" s="67"/>
      <c r="D1242" s="68"/>
      <c r="E1242" s="69"/>
      <c r="F1242" s="70"/>
      <c r="G1242" s="67"/>
      <c r="H1242" s="71"/>
      <c r="I1242" s="72"/>
      <c r="J1242" s="72"/>
      <c r="K1242" s="36"/>
      <c r="L1242" s="79">
        <v>1242</v>
      </c>
      <c r="M1242" s="79"/>
      <c r="N1242" s="74"/>
      <c r="O1242" s="81" t="s">
        <v>1235</v>
      </c>
    </row>
    <row r="1243" spans="1:15" ht="15">
      <c r="A1243" s="66" t="s">
        <v>216</v>
      </c>
      <c r="B1243" s="66" t="s">
        <v>224</v>
      </c>
      <c r="C1243" s="67"/>
      <c r="D1243" s="68"/>
      <c r="E1243" s="69"/>
      <c r="F1243" s="70"/>
      <c r="G1243" s="67"/>
      <c r="H1243" s="71"/>
      <c r="I1243" s="72"/>
      <c r="J1243" s="72"/>
      <c r="K1243" s="36"/>
      <c r="L1243" s="79">
        <v>1243</v>
      </c>
      <c r="M1243" s="79"/>
      <c r="N1243" s="74"/>
      <c r="O1243" s="81" t="s">
        <v>1235</v>
      </c>
    </row>
    <row r="1244" spans="1:15" ht="15">
      <c r="A1244" s="66" t="s">
        <v>216</v>
      </c>
      <c r="B1244" s="66" t="s">
        <v>603</v>
      </c>
      <c r="C1244" s="67"/>
      <c r="D1244" s="68"/>
      <c r="E1244" s="69"/>
      <c r="F1244" s="70"/>
      <c r="G1244" s="67"/>
      <c r="H1244" s="71"/>
      <c r="I1244" s="72"/>
      <c r="J1244" s="72"/>
      <c r="K1244" s="36"/>
      <c r="L1244" s="79">
        <v>1244</v>
      </c>
      <c r="M1244" s="79"/>
      <c r="N1244" s="74"/>
      <c r="O1244" s="81" t="s">
        <v>1235</v>
      </c>
    </row>
    <row r="1245" spans="1:15" ht="15">
      <c r="A1245" s="66" t="s">
        <v>216</v>
      </c>
      <c r="B1245" s="66" t="s">
        <v>223</v>
      </c>
      <c r="C1245" s="67"/>
      <c r="D1245" s="68"/>
      <c r="E1245" s="69"/>
      <c r="F1245" s="70"/>
      <c r="G1245" s="67"/>
      <c r="H1245" s="71"/>
      <c r="I1245" s="72"/>
      <c r="J1245" s="72"/>
      <c r="K1245" s="36"/>
      <c r="L1245" s="79">
        <v>1245</v>
      </c>
      <c r="M1245" s="79"/>
      <c r="N1245" s="74"/>
      <c r="O1245" s="81" t="s">
        <v>1235</v>
      </c>
    </row>
    <row r="1246" spans="1:15" ht="15">
      <c r="A1246" s="66" t="s">
        <v>216</v>
      </c>
      <c r="B1246" s="66" t="s">
        <v>222</v>
      </c>
      <c r="C1246" s="67"/>
      <c r="D1246" s="68"/>
      <c r="E1246" s="69"/>
      <c r="F1246" s="70"/>
      <c r="G1246" s="67"/>
      <c r="H1246" s="71"/>
      <c r="I1246" s="72"/>
      <c r="J1246" s="72"/>
      <c r="K1246" s="36"/>
      <c r="L1246" s="79">
        <v>1246</v>
      </c>
      <c r="M1246" s="79"/>
      <c r="N1246" s="74"/>
      <c r="O1246" s="81" t="s">
        <v>1235</v>
      </c>
    </row>
    <row r="1247" spans="1:15" ht="15">
      <c r="A1247" s="66" t="s">
        <v>216</v>
      </c>
      <c r="B1247" s="66" t="s">
        <v>990</v>
      </c>
      <c r="C1247" s="67"/>
      <c r="D1247" s="68"/>
      <c r="E1247" s="69"/>
      <c r="F1247" s="70"/>
      <c r="G1247" s="67"/>
      <c r="H1247" s="71"/>
      <c r="I1247" s="72"/>
      <c r="J1247" s="72"/>
      <c r="K1247" s="36"/>
      <c r="L1247" s="79">
        <v>1247</v>
      </c>
      <c r="M1247" s="79"/>
      <c r="N1247" s="74"/>
      <c r="O1247" s="81" t="s">
        <v>1235</v>
      </c>
    </row>
    <row r="1248" spans="1:15" ht="15">
      <c r="A1248" s="66" t="s">
        <v>216</v>
      </c>
      <c r="B1248" s="66" t="s">
        <v>227</v>
      </c>
      <c r="C1248" s="67"/>
      <c r="D1248" s="68"/>
      <c r="E1248" s="69"/>
      <c r="F1248" s="70"/>
      <c r="G1248" s="67"/>
      <c r="H1248" s="71"/>
      <c r="I1248" s="72"/>
      <c r="J1248" s="72"/>
      <c r="K1248" s="36"/>
      <c r="L1248" s="79">
        <v>1248</v>
      </c>
      <c r="M1248" s="79"/>
      <c r="N1248" s="74"/>
      <c r="O1248" s="81" t="s">
        <v>1235</v>
      </c>
    </row>
    <row r="1249" spans="1:15" ht="15">
      <c r="A1249" s="66" t="s">
        <v>216</v>
      </c>
      <c r="B1249" s="66" t="s">
        <v>218</v>
      </c>
      <c r="C1249" s="67"/>
      <c r="D1249" s="68"/>
      <c r="E1249" s="69"/>
      <c r="F1249" s="70"/>
      <c r="G1249" s="67"/>
      <c r="H1249" s="71"/>
      <c r="I1249" s="72"/>
      <c r="J1249" s="72"/>
      <c r="K1249" s="36"/>
      <c r="L1249" s="79">
        <v>1249</v>
      </c>
      <c r="M1249" s="79"/>
      <c r="N1249" s="74"/>
      <c r="O1249" s="81" t="s">
        <v>1235</v>
      </c>
    </row>
    <row r="1250" spans="1:15" ht="15">
      <c r="A1250" s="66" t="s">
        <v>216</v>
      </c>
      <c r="B1250" s="66" t="s">
        <v>225</v>
      </c>
      <c r="C1250" s="67"/>
      <c r="D1250" s="68"/>
      <c r="E1250" s="69"/>
      <c r="F1250" s="70"/>
      <c r="G1250" s="67"/>
      <c r="H1250" s="71"/>
      <c r="I1250" s="72"/>
      <c r="J1250" s="72"/>
      <c r="K1250" s="36"/>
      <c r="L1250" s="79">
        <v>1250</v>
      </c>
      <c r="M1250" s="79"/>
      <c r="N1250" s="74"/>
      <c r="O1250" s="81" t="s">
        <v>1235</v>
      </c>
    </row>
    <row r="1251" spans="1:15" ht="15">
      <c r="A1251" s="66" t="s">
        <v>219</v>
      </c>
      <c r="B1251" s="66" t="s">
        <v>216</v>
      </c>
      <c r="C1251" s="67"/>
      <c r="D1251" s="68"/>
      <c r="E1251" s="69"/>
      <c r="F1251" s="70"/>
      <c r="G1251" s="67"/>
      <c r="H1251" s="71"/>
      <c r="I1251" s="72"/>
      <c r="J1251" s="72"/>
      <c r="K1251" s="36"/>
      <c r="L1251" s="79">
        <v>1251</v>
      </c>
      <c r="M1251" s="79"/>
      <c r="N1251" s="74"/>
      <c r="O1251" s="81" t="s">
        <v>1235</v>
      </c>
    </row>
    <row r="1252" spans="1:15" ht="15">
      <c r="A1252" s="66" t="s">
        <v>219</v>
      </c>
      <c r="B1252" s="66" t="s">
        <v>991</v>
      </c>
      <c r="C1252" s="67"/>
      <c r="D1252" s="68"/>
      <c r="E1252" s="69"/>
      <c r="F1252" s="70"/>
      <c r="G1252" s="67"/>
      <c r="H1252" s="71"/>
      <c r="I1252" s="72"/>
      <c r="J1252" s="72"/>
      <c r="K1252" s="36"/>
      <c r="L1252" s="79">
        <v>1252</v>
      </c>
      <c r="M1252" s="79"/>
      <c r="N1252" s="74"/>
      <c r="O1252" s="81" t="s">
        <v>1235</v>
      </c>
    </row>
    <row r="1253" spans="1:15" ht="15">
      <c r="A1253" s="66" t="s">
        <v>219</v>
      </c>
      <c r="B1253" s="66" t="s">
        <v>992</v>
      </c>
      <c r="C1253" s="67"/>
      <c r="D1253" s="68"/>
      <c r="E1253" s="69"/>
      <c r="F1253" s="70"/>
      <c r="G1253" s="67"/>
      <c r="H1253" s="71"/>
      <c r="I1253" s="72"/>
      <c r="J1253" s="72"/>
      <c r="K1253" s="36"/>
      <c r="L1253" s="79">
        <v>1253</v>
      </c>
      <c r="M1253" s="79"/>
      <c r="N1253" s="74"/>
      <c r="O1253" s="81" t="s">
        <v>1235</v>
      </c>
    </row>
    <row r="1254" spans="1:15" ht="15">
      <c r="A1254" s="66" t="s">
        <v>219</v>
      </c>
      <c r="B1254" s="66" t="s">
        <v>993</v>
      </c>
      <c r="C1254" s="67"/>
      <c r="D1254" s="68"/>
      <c r="E1254" s="69"/>
      <c r="F1254" s="70"/>
      <c r="G1254" s="67"/>
      <c r="H1254" s="71"/>
      <c r="I1254" s="72"/>
      <c r="J1254" s="72"/>
      <c r="K1254" s="36"/>
      <c r="L1254" s="79">
        <v>1254</v>
      </c>
      <c r="M1254" s="79"/>
      <c r="N1254" s="74"/>
      <c r="O1254" s="81" t="s">
        <v>1235</v>
      </c>
    </row>
    <row r="1255" spans="1:15" ht="15">
      <c r="A1255" s="66" t="s">
        <v>214</v>
      </c>
      <c r="B1255" s="66" t="s">
        <v>994</v>
      </c>
      <c r="C1255" s="67"/>
      <c r="D1255" s="68"/>
      <c r="E1255" s="69"/>
      <c r="F1255" s="70"/>
      <c r="G1255" s="67"/>
      <c r="H1255" s="71"/>
      <c r="I1255" s="72"/>
      <c r="J1255" s="72"/>
      <c r="K1255" s="36"/>
      <c r="L1255" s="79">
        <v>1255</v>
      </c>
      <c r="M1255" s="79"/>
      <c r="N1255" s="74"/>
      <c r="O1255" s="81" t="s">
        <v>1235</v>
      </c>
    </row>
    <row r="1256" spans="1:15" ht="15">
      <c r="A1256" s="66" t="s">
        <v>219</v>
      </c>
      <c r="B1256" s="66" t="s">
        <v>994</v>
      </c>
      <c r="C1256" s="67"/>
      <c r="D1256" s="68"/>
      <c r="E1256" s="69"/>
      <c r="F1256" s="70"/>
      <c r="G1256" s="67"/>
      <c r="H1256" s="71"/>
      <c r="I1256" s="72"/>
      <c r="J1256" s="72"/>
      <c r="K1256" s="36"/>
      <c r="L1256" s="79">
        <v>1256</v>
      </c>
      <c r="M1256" s="79"/>
      <c r="N1256" s="74"/>
      <c r="O1256" s="81" t="s">
        <v>1235</v>
      </c>
    </row>
    <row r="1257" spans="1:15" ht="15">
      <c r="A1257" s="66" t="s">
        <v>219</v>
      </c>
      <c r="B1257" s="66" t="s">
        <v>740</v>
      </c>
      <c r="C1257" s="67"/>
      <c r="D1257" s="68"/>
      <c r="E1257" s="69"/>
      <c r="F1257" s="70"/>
      <c r="G1257" s="67"/>
      <c r="H1257" s="71"/>
      <c r="I1257" s="72"/>
      <c r="J1257" s="72"/>
      <c r="K1257" s="36"/>
      <c r="L1257" s="79">
        <v>1257</v>
      </c>
      <c r="M1257" s="79"/>
      <c r="N1257" s="74"/>
      <c r="O1257" s="81" t="s">
        <v>1235</v>
      </c>
    </row>
    <row r="1258" spans="1:15" ht="15">
      <c r="A1258" s="66" t="s">
        <v>219</v>
      </c>
      <c r="B1258" s="66" t="s">
        <v>995</v>
      </c>
      <c r="C1258" s="67"/>
      <c r="D1258" s="68"/>
      <c r="E1258" s="69"/>
      <c r="F1258" s="70"/>
      <c r="G1258" s="67"/>
      <c r="H1258" s="71"/>
      <c r="I1258" s="72"/>
      <c r="J1258" s="72"/>
      <c r="K1258" s="36"/>
      <c r="L1258" s="79">
        <v>1258</v>
      </c>
      <c r="M1258" s="79"/>
      <c r="N1258" s="74"/>
      <c r="O1258" s="81" t="s">
        <v>1235</v>
      </c>
    </row>
    <row r="1259" spans="1:15" ht="15">
      <c r="A1259" s="66" t="s">
        <v>188</v>
      </c>
      <c r="B1259" s="66" t="s">
        <v>693</v>
      </c>
      <c r="C1259" s="67"/>
      <c r="D1259" s="68"/>
      <c r="E1259" s="69"/>
      <c r="F1259" s="70"/>
      <c r="G1259" s="67"/>
      <c r="H1259" s="71"/>
      <c r="I1259" s="72"/>
      <c r="J1259" s="72"/>
      <c r="K1259" s="36"/>
      <c r="L1259" s="79">
        <v>1259</v>
      </c>
      <c r="M1259" s="79"/>
      <c r="N1259" s="74"/>
      <c r="O1259" s="81" t="s">
        <v>1235</v>
      </c>
    </row>
    <row r="1260" spans="1:15" ht="15">
      <c r="A1260" s="66" t="s">
        <v>219</v>
      </c>
      <c r="B1260" s="66" t="s">
        <v>693</v>
      </c>
      <c r="C1260" s="67"/>
      <c r="D1260" s="68"/>
      <c r="E1260" s="69"/>
      <c r="F1260" s="70"/>
      <c r="G1260" s="67"/>
      <c r="H1260" s="71"/>
      <c r="I1260" s="72"/>
      <c r="J1260" s="72"/>
      <c r="K1260" s="36"/>
      <c r="L1260" s="79">
        <v>1260</v>
      </c>
      <c r="M1260" s="79"/>
      <c r="N1260" s="74"/>
      <c r="O1260" s="81" t="s">
        <v>1235</v>
      </c>
    </row>
    <row r="1261" spans="1:15" ht="15">
      <c r="A1261" s="66" t="s">
        <v>219</v>
      </c>
      <c r="B1261" s="66" t="s">
        <v>742</v>
      </c>
      <c r="C1261" s="67"/>
      <c r="D1261" s="68"/>
      <c r="E1261" s="69"/>
      <c r="F1261" s="70"/>
      <c r="G1261" s="67"/>
      <c r="H1261" s="71"/>
      <c r="I1261" s="72"/>
      <c r="J1261" s="72"/>
      <c r="K1261" s="36"/>
      <c r="L1261" s="79">
        <v>1261</v>
      </c>
      <c r="M1261" s="79"/>
      <c r="N1261" s="74"/>
      <c r="O1261" s="81" t="s">
        <v>1235</v>
      </c>
    </row>
    <row r="1262" spans="1:15" ht="15">
      <c r="A1262" s="66" t="s">
        <v>220</v>
      </c>
      <c r="B1262" s="66" t="s">
        <v>996</v>
      </c>
      <c r="C1262" s="67"/>
      <c r="D1262" s="68"/>
      <c r="E1262" s="69"/>
      <c r="F1262" s="70"/>
      <c r="G1262" s="67"/>
      <c r="H1262" s="71"/>
      <c r="I1262" s="72"/>
      <c r="J1262" s="72"/>
      <c r="K1262" s="36"/>
      <c r="L1262" s="79">
        <v>1262</v>
      </c>
      <c r="M1262" s="79"/>
      <c r="N1262" s="74"/>
      <c r="O1262" s="81" t="s">
        <v>1235</v>
      </c>
    </row>
    <row r="1263" spans="1:15" ht="15">
      <c r="A1263" s="66" t="s">
        <v>220</v>
      </c>
      <c r="B1263" s="66" t="s">
        <v>997</v>
      </c>
      <c r="C1263" s="67"/>
      <c r="D1263" s="68"/>
      <c r="E1263" s="69"/>
      <c r="F1263" s="70"/>
      <c r="G1263" s="67"/>
      <c r="H1263" s="71"/>
      <c r="I1263" s="72"/>
      <c r="J1263" s="72"/>
      <c r="K1263" s="36"/>
      <c r="L1263" s="79">
        <v>1263</v>
      </c>
      <c r="M1263" s="79"/>
      <c r="N1263" s="74"/>
      <c r="O1263" s="81" t="s">
        <v>1235</v>
      </c>
    </row>
    <row r="1264" spans="1:15" ht="15">
      <c r="A1264" s="66" t="s">
        <v>220</v>
      </c>
      <c r="B1264" s="66" t="s">
        <v>998</v>
      </c>
      <c r="C1264" s="67"/>
      <c r="D1264" s="68"/>
      <c r="E1264" s="69"/>
      <c r="F1264" s="70"/>
      <c r="G1264" s="67"/>
      <c r="H1264" s="71"/>
      <c r="I1264" s="72"/>
      <c r="J1264" s="72"/>
      <c r="K1264" s="36"/>
      <c r="L1264" s="79">
        <v>1264</v>
      </c>
      <c r="M1264" s="79"/>
      <c r="N1264" s="74"/>
      <c r="O1264" s="81" t="s">
        <v>1235</v>
      </c>
    </row>
    <row r="1265" spans="1:15" ht="15">
      <c r="A1265" s="66" t="s">
        <v>220</v>
      </c>
      <c r="B1265" s="66" t="s">
        <v>999</v>
      </c>
      <c r="C1265" s="67"/>
      <c r="D1265" s="68"/>
      <c r="E1265" s="69"/>
      <c r="F1265" s="70"/>
      <c r="G1265" s="67"/>
      <c r="H1265" s="71"/>
      <c r="I1265" s="72"/>
      <c r="J1265" s="72"/>
      <c r="K1265" s="36"/>
      <c r="L1265" s="79">
        <v>1265</v>
      </c>
      <c r="M1265" s="79"/>
      <c r="N1265" s="74"/>
      <c r="O1265" s="81" t="s">
        <v>1235</v>
      </c>
    </row>
    <row r="1266" spans="1:15" ht="15">
      <c r="A1266" s="66" t="s">
        <v>220</v>
      </c>
      <c r="B1266" s="66" t="s">
        <v>1000</v>
      </c>
      <c r="C1266" s="67"/>
      <c r="D1266" s="68"/>
      <c r="E1266" s="69"/>
      <c r="F1266" s="70"/>
      <c r="G1266" s="67"/>
      <c r="H1266" s="71"/>
      <c r="I1266" s="72"/>
      <c r="J1266" s="72"/>
      <c r="K1266" s="36"/>
      <c r="L1266" s="79">
        <v>1266</v>
      </c>
      <c r="M1266" s="79"/>
      <c r="N1266" s="74"/>
      <c r="O1266" s="81" t="s">
        <v>1235</v>
      </c>
    </row>
    <row r="1267" spans="1:15" ht="15">
      <c r="A1267" s="66" t="s">
        <v>220</v>
      </c>
      <c r="B1267" s="66" t="s">
        <v>1001</v>
      </c>
      <c r="C1267" s="67"/>
      <c r="D1267" s="68"/>
      <c r="E1267" s="69"/>
      <c r="F1267" s="70"/>
      <c r="G1267" s="67"/>
      <c r="H1267" s="71"/>
      <c r="I1267" s="72"/>
      <c r="J1267" s="72"/>
      <c r="K1267" s="36"/>
      <c r="L1267" s="79">
        <v>1267</v>
      </c>
      <c r="M1267" s="79"/>
      <c r="N1267" s="74"/>
      <c r="O1267" s="81" t="s">
        <v>1235</v>
      </c>
    </row>
    <row r="1268" spans="1:15" ht="15">
      <c r="A1268" s="66" t="s">
        <v>220</v>
      </c>
      <c r="B1268" s="66" t="s">
        <v>1002</v>
      </c>
      <c r="C1268" s="67"/>
      <c r="D1268" s="68"/>
      <c r="E1268" s="69"/>
      <c r="F1268" s="70"/>
      <c r="G1268" s="67"/>
      <c r="H1268" s="71"/>
      <c r="I1268" s="72"/>
      <c r="J1268" s="72"/>
      <c r="K1268" s="36"/>
      <c r="L1268" s="79">
        <v>1268</v>
      </c>
      <c r="M1268" s="79"/>
      <c r="N1268" s="74"/>
      <c r="O1268" s="81" t="s">
        <v>1235</v>
      </c>
    </row>
    <row r="1269" spans="1:15" ht="15">
      <c r="A1269" s="66" t="s">
        <v>220</v>
      </c>
      <c r="B1269" s="66" t="s">
        <v>483</v>
      </c>
      <c r="C1269" s="67"/>
      <c r="D1269" s="68"/>
      <c r="E1269" s="69"/>
      <c r="F1269" s="70"/>
      <c r="G1269" s="67"/>
      <c r="H1269" s="71"/>
      <c r="I1269" s="72"/>
      <c r="J1269" s="72"/>
      <c r="K1269" s="36"/>
      <c r="L1269" s="79">
        <v>1269</v>
      </c>
      <c r="M1269" s="79"/>
      <c r="N1269" s="74"/>
      <c r="O1269" s="81" t="s">
        <v>1235</v>
      </c>
    </row>
    <row r="1270" spans="1:15" ht="15">
      <c r="A1270" s="66" t="s">
        <v>220</v>
      </c>
      <c r="B1270" s="66" t="s">
        <v>1003</v>
      </c>
      <c r="C1270" s="67"/>
      <c r="D1270" s="68"/>
      <c r="E1270" s="69"/>
      <c r="F1270" s="70"/>
      <c r="G1270" s="67"/>
      <c r="H1270" s="71"/>
      <c r="I1270" s="72"/>
      <c r="J1270" s="72"/>
      <c r="K1270" s="36"/>
      <c r="L1270" s="79">
        <v>1270</v>
      </c>
      <c r="M1270" s="79"/>
      <c r="N1270" s="74"/>
      <c r="O1270" s="81" t="s">
        <v>1235</v>
      </c>
    </row>
    <row r="1271" spans="1:15" ht="15">
      <c r="A1271" s="66" t="s">
        <v>220</v>
      </c>
      <c r="B1271" s="66" t="s">
        <v>1004</v>
      </c>
      <c r="C1271" s="67"/>
      <c r="D1271" s="68"/>
      <c r="E1271" s="69"/>
      <c r="F1271" s="70"/>
      <c r="G1271" s="67"/>
      <c r="H1271" s="71"/>
      <c r="I1271" s="72"/>
      <c r="J1271" s="72"/>
      <c r="K1271" s="36"/>
      <c r="L1271" s="79">
        <v>1271</v>
      </c>
      <c r="M1271" s="79"/>
      <c r="N1271" s="74"/>
      <c r="O1271" s="81" t="s">
        <v>1235</v>
      </c>
    </row>
    <row r="1272" spans="1:15" ht="15">
      <c r="A1272" s="66" t="s">
        <v>220</v>
      </c>
      <c r="B1272" s="66" t="s">
        <v>1005</v>
      </c>
      <c r="C1272" s="67"/>
      <c r="D1272" s="68"/>
      <c r="E1272" s="69"/>
      <c r="F1272" s="70"/>
      <c r="G1272" s="67"/>
      <c r="H1272" s="71"/>
      <c r="I1272" s="72"/>
      <c r="J1272" s="72"/>
      <c r="K1272" s="36"/>
      <c r="L1272" s="79">
        <v>1272</v>
      </c>
      <c r="M1272" s="79"/>
      <c r="N1272" s="74"/>
      <c r="O1272" s="81" t="s">
        <v>1235</v>
      </c>
    </row>
    <row r="1273" spans="1:15" ht="15">
      <c r="A1273" s="66" t="s">
        <v>220</v>
      </c>
      <c r="B1273" s="66" t="s">
        <v>1006</v>
      </c>
      <c r="C1273" s="67"/>
      <c r="D1273" s="68"/>
      <c r="E1273" s="69"/>
      <c r="F1273" s="70"/>
      <c r="G1273" s="67"/>
      <c r="H1273" s="71"/>
      <c r="I1273" s="72"/>
      <c r="J1273" s="72"/>
      <c r="K1273" s="36"/>
      <c r="L1273" s="79">
        <v>1273</v>
      </c>
      <c r="M1273" s="79"/>
      <c r="N1273" s="74"/>
      <c r="O1273" s="81" t="s">
        <v>1235</v>
      </c>
    </row>
    <row r="1274" spans="1:15" ht="15">
      <c r="A1274" s="66" t="s">
        <v>188</v>
      </c>
      <c r="B1274" s="66" t="s">
        <v>1007</v>
      </c>
      <c r="C1274" s="67"/>
      <c r="D1274" s="68"/>
      <c r="E1274" s="69"/>
      <c r="F1274" s="70"/>
      <c r="G1274" s="67"/>
      <c r="H1274" s="71"/>
      <c r="I1274" s="72"/>
      <c r="J1274" s="72"/>
      <c r="K1274" s="36"/>
      <c r="L1274" s="79">
        <v>1274</v>
      </c>
      <c r="M1274" s="79"/>
      <c r="N1274" s="74"/>
      <c r="O1274" s="81" t="s">
        <v>1235</v>
      </c>
    </row>
    <row r="1275" spans="1:15" ht="15">
      <c r="A1275" s="66" t="s">
        <v>220</v>
      </c>
      <c r="B1275" s="66" t="s">
        <v>1007</v>
      </c>
      <c r="C1275" s="67"/>
      <c r="D1275" s="68"/>
      <c r="E1275" s="69"/>
      <c r="F1275" s="70"/>
      <c r="G1275" s="67"/>
      <c r="H1275" s="71"/>
      <c r="I1275" s="72"/>
      <c r="J1275" s="72"/>
      <c r="K1275" s="36"/>
      <c r="L1275" s="79">
        <v>1275</v>
      </c>
      <c r="M1275" s="79"/>
      <c r="N1275" s="74"/>
      <c r="O1275" s="81" t="s">
        <v>1235</v>
      </c>
    </row>
    <row r="1276" spans="1:15" ht="15">
      <c r="A1276" s="66" t="s">
        <v>220</v>
      </c>
      <c r="B1276" s="66" t="s">
        <v>1008</v>
      </c>
      <c r="C1276" s="67"/>
      <c r="D1276" s="68"/>
      <c r="E1276" s="69"/>
      <c r="F1276" s="70"/>
      <c r="G1276" s="67"/>
      <c r="H1276" s="71"/>
      <c r="I1276" s="72"/>
      <c r="J1276" s="72"/>
      <c r="K1276" s="36"/>
      <c r="L1276" s="79">
        <v>1276</v>
      </c>
      <c r="M1276" s="79"/>
      <c r="N1276" s="74"/>
      <c r="O1276" s="81" t="s">
        <v>1235</v>
      </c>
    </row>
    <row r="1277" spans="1:15" ht="15">
      <c r="A1277" s="66" t="s">
        <v>220</v>
      </c>
      <c r="B1277" s="66" t="s">
        <v>1009</v>
      </c>
      <c r="C1277" s="67"/>
      <c r="D1277" s="68"/>
      <c r="E1277" s="69"/>
      <c r="F1277" s="70"/>
      <c r="G1277" s="67"/>
      <c r="H1277" s="71"/>
      <c r="I1277" s="72"/>
      <c r="J1277" s="72"/>
      <c r="K1277" s="36"/>
      <c r="L1277" s="79">
        <v>1277</v>
      </c>
      <c r="M1277" s="79"/>
      <c r="N1277" s="74"/>
      <c r="O1277" s="81" t="s">
        <v>1235</v>
      </c>
    </row>
    <row r="1278" spans="1:15" ht="15">
      <c r="A1278" s="66" t="s">
        <v>220</v>
      </c>
      <c r="B1278" s="66" t="s">
        <v>1010</v>
      </c>
      <c r="C1278" s="67"/>
      <c r="D1278" s="68"/>
      <c r="E1278" s="69"/>
      <c r="F1278" s="70"/>
      <c r="G1278" s="67"/>
      <c r="H1278" s="71"/>
      <c r="I1278" s="72"/>
      <c r="J1278" s="72"/>
      <c r="K1278" s="36"/>
      <c r="L1278" s="79">
        <v>1278</v>
      </c>
      <c r="M1278" s="79"/>
      <c r="N1278" s="74"/>
      <c r="O1278" s="81" t="s">
        <v>1235</v>
      </c>
    </row>
    <row r="1279" spans="1:15" ht="15">
      <c r="A1279" s="66" t="s">
        <v>220</v>
      </c>
      <c r="B1279" s="66" t="s">
        <v>1011</v>
      </c>
      <c r="C1279" s="67"/>
      <c r="D1279" s="68"/>
      <c r="E1279" s="69"/>
      <c r="F1279" s="70"/>
      <c r="G1279" s="67"/>
      <c r="H1279" s="71"/>
      <c r="I1279" s="72"/>
      <c r="J1279" s="72"/>
      <c r="K1279" s="36"/>
      <c r="L1279" s="79">
        <v>1279</v>
      </c>
      <c r="M1279" s="79"/>
      <c r="N1279" s="74"/>
      <c r="O1279" s="81" t="s">
        <v>1235</v>
      </c>
    </row>
    <row r="1280" spans="1:15" ht="15">
      <c r="A1280" s="66" t="s">
        <v>220</v>
      </c>
      <c r="B1280" s="66" t="s">
        <v>1012</v>
      </c>
      <c r="C1280" s="67"/>
      <c r="D1280" s="68"/>
      <c r="E1280" s="69"/>
      <c r="F1280" s="70"/>
      <c r="G1280" s="67"/>
      <c r="H1280" s="71"/>
      <c r="I1280" s="72"/>
      <c r="J1280" s="72"/>
      <c r="K1280" s="36"/>
      <c r="L1280" s="79">
        <v>1280</v>
      </c>
      <c r="M1280" s="79"/>
      <c r="N1280" s="74"/>
      <c r="O1280" s="81" t="s">
        <v>1235</v>
      </c>
    </row>
    <row r="1281" spans="1:15" ht="15">
      <c r="A1281" s="66" t="s">
        <v>220</v>
      </c>
      <c r="B1281" s="66" t="s">
        <v>1013</v>
      </c>
      <c r="C1281" s="67"/>
      <c r="D1281" s="68"/>
      <c r="E1281" s="69"/>
      <c r="F1281" s="70"/>
      <c r="G1281" s="67"/>
      <c r="H1281" s="71"/>
      <c r="I1281" s="72"/>
      <c r="J1281" s="72"/>
      <c r="K1281" s="36"/>
      <c r="L1281" s="79">
        <v>1281</v>
      </c>
      <c r="M1281" s="79"/>
      <c r="N1281" s="74"/>
      <c r="O1281" s="81" t="s">
        <v>1235</v>
      </c>
    </row>
    <row r="1282" spans="1:15" ht="15">
      <c r="A1282" s="66" t="s">
        <v>188</v>
      </c>
      <c r="B1282" s="66" t="s">
        <v>1014</v>
      </c>
      <c r="C1282" s="67"/>
      <c r="D1282" s="68"/>
      <c r="E1282" s="69"/>
      <c r="F1282" s="70"/>
      <c r="G1282" s="67"/>
      <c r="H1282" s="71"/>
      <c r="I1282" s="72"/>
      <c r="J1282" s="72"/>
      <c r="K1282" s="36"/>
      <c r="L1282" s="79">
        <v>1282</v>
      </c>
      <c r="M1282" s="79"/>
      <c r="N1282" s="74"/>
      <c r="O1282" s="81" t="s">
        <v>1235</v>
      </c>
    </row>
    <row r="1283" spans="1:15" ht="15">
      <c r="A1283" s="66" t="s">
        <v>220</v>
      </c>
      <c r="B1283" s="66" t="s">
        <v>1014</v>
      </c>
      <c r="C1283" s="67"/>
      <c r="D1283" s="68"/>
      <c r="E1283" s="69"/>
      <c r="F1283" s="70"/>
      <c r="G1283" s="67"/>
      <c r="H1283" s="71"/>
      <c r="I1283" s="72"/>
      <c r="J1283" s="72"/>
      <c r="K1283" s="36"/>
      <c r="L1283" s="79">
        <v>1283</v>
      </c>
      <c r="M1283" s="79"/>
      <c r="N1283" s="74"/>
      <c r="O1283" s="81" t="s">
        <v>1235</v>
      </c>
    </row>
    <row r="1284" spans="1:15" ht="15">
      <c r="A1284" s="66" t="s">
        <v>220</v>
      </c>
      <c r="B1284" s="66" t="s">
        <v>1015</v>
      </c>
      <c r="C1284" s="67"/>
      <c r="D1284" s="68"/>
      <c r="E1284" s="69"/>
      <c r="F1284" s="70"/>
      <c r="G1284" s="67"/>
      <c r="H1284" s="71"/>
      <c r="I1284" s="72"/>
      <c r="J1284" s="72"/>
      <c r="K1284" s="36"/>
      <c r="L1284" s="79">
        <v>1284</v>
      </c>
      <c r="M1284" s="79"/>
      <c r="N1284" s="74"/>
      <c r="O1284" s="81" t="s">
        <v>1235</v>
      </c>
    </row>
    <row r="1285" spans="1:15" ht="15">
      <c r="A1285" s="66" t="s">
        <v>220</v>
      </c>
      <c r="B1285" s="66" t="s">
        <v>1016</v>
      </c>
      <c r="C1285" s="67"/>
      <c r="D1285" s="68"/>
      <c r="E1285" s="69"/>
      <c r="F1285" s="70"/>
      <c r="G1285" s="67"/>
      <c r="H1285" s="71"/>
      <c r="I1285" s="72"/>
      <c r="J1285" s="72"/>
      <c r="K1285" s="36"/>
      <c r="L1285" s="79">
        <v>1285</v>
      </c>
      <c r="M1285" s="79"/>
      <c r="N1285" s="74"/>
      <c r="O1285" s="81" t="s">
        <v>1235</v>
      </c>
    </row>
    <row r="1286" spans="1:15" ht="15">
      <c r="A1286" s="66" t="s">
        <v>212</v>
      </c>
      <c r="B1286" s="66" t="s">
        <v>969</v>
      </c>
      <c r="C1286" s="67"/>
      <c r="D1286" s="68"/>
      <c r="E1286" s="69"/>
      <c r="F1286" s="70"/>
      <c r="G1286" s="67"/>
      <c r="H1286" s="71"/>
      <c r="I1286" s="72"/>
      <c r="J1286" s="72"/>
      <c r="K1286" s="36"/>
      <c r="L1286" s="79">
        <v>1286</v>
      </c>
      <c r="M1286" s="79"/>
      <c r="N1286" s="74"/>
      <c r="O1286" s="81" t="s">
        <v>1235</v>
      </c>
    </row>
    <row r="1287" spans="1:15" ht="15">
      <c r="A1287" s="66" t="s">
        <v>220</v>
      </c>
      <c r="B1287" s="66" t="s">
        <v>969</v>
      </c>
      <c r="C1287" s="67"/>
      <c r="D1287" s="68"/>
      <c r="E1287" s="69"/>
      <c r="F1287" s="70"/>
      <c r="G1287" s="67"/>
      <c r="H1287" s="71"/>
      <c r="I1287" s="72"/>
      <c r="J1287" s="72"/>
      <c r="K1287" s="36"/>
      <c r="L1287" s="79">
        <v>1287</v>
      </c>
      <c r="M1287" s="79"/>
      <c r="N1287" s="74"/>
      <c r="O1287" s="81" t="s">
        <v>1235</v>
      </c>
    </row>
    <row r="1288" spans="1:15" ht="15">
      <c r="A1288" s="66" t="s">
        <v>220</v>
      </c>
      <c r="B1288" s="66" t="s">
        <v>602</v>
      </c>
      <c r="C1288" s="67"/>
      <c r="D1288" s="68"/>
      <c r="E1288" s="69"/>
      <c r="F1288" s="70"/>
      <c r="G1288" s="67"/>
      <c r="H1288" s="71"/>
      <c r="I1288" s="72"/>
      <c r="J1288" s="72"/>
      <c r="K1288" s="36"/>
      <c r="L1288" s="79">
        <v>1288</v>
      </c>
      <c r="M1288" s="79"/>
      <c r="N1288" s="74"/>
      <c r="O1288" s="81" t="s">
        <v>1235</v>
      </c>
    </row>
    <row r="1289" spans="1:15" ht="15">
      <c r="A1289" s="66" t="s">
        <v>220</v>
      </c>
      <c r="B1289" s="66" t="s">
        <v>1017</v>
      </c>
      <c r="C1289" s="67"/>
      <c r="D1289" s="68"/>
      <c r="E1289" s="69"/>
      <c r="F1289" s="70"/>
      <c r="G1289" s="67"/>
      <c r="H1289" s="71"/>
      <c r="I1289" s="72"/>
      <c r="J1289" s="72"/>
      <c r="K1289" s="36"/>
      <c r="L1289" s="79">
        <v>1289</v>
      </c>
      <c r="M1289" s="79"/>
      <c r="N1289" s="74"/>
      <c r="O1289" s="81" t="s">
        <v>1235</v>
      </c>
    </row>
    <row r="1290" spans="1:15" ht="15">
      <c r="A1290" s="66" t="s">
        <v>220</v>
      </c>
      <c r="B1290" s="66" t="s">
        <v>695</v>
      </c>
      <c r="C1290" s="67"/>
      <c r="D1290" s="68"/>
      <c r="E1290" s="69"/>
      <c r="F1290" s="70"/>
      <c r="G1290" s="67"/>
      <c r="H1290" s="71"/>
      <c r="I1290" s="72"/>
      <c r="J1290" s="72"/>
      <c r="K1290" s="36"/>
      <c r="L1290" s="79">
        <v>1290</v>
      </c>
      <c r="M1290" s="79"/>
      <c r="N1290" s="74"/>
      <c r="O1290" s="81" t="s">
        <v>1235</v>
      </c>
    </row>
    <row r="1291" spans="1:15" ht="15">
      <c r="A1291" s="66" t="s">
        <v>179</v>
      </c>
      <c r="B1291" s="66" t="s">
        <v>1018</v>
      </c>
      <c r="C1291" s="67"/>
      <c r="D1291" s="68"/>
      <c r="E1291" s="69"/>
      <c r="F1291" s="70"/>
      <c r="G1291" s="67"/>
      <c r="H1291" s="71"/>
      <c r="I1291" s="72"/>
      <c r="J1291" s="72"/>
      <c r="K1291" s="36"/>
      <c r="L1291" s="79">
        <v>1291</v>
      </c>
      <c r="M1291" s="79"/>
      <c r="N1291" s="74"/>
      <c r="O1291" s="81" t="s">
        <v>1235</v>
      </c>
    </row>
    <row r="1292" spans="1:15" ht="15">
      <c r="A1292" s="66" t="s">
        <v>218</v>
      </c>
      <c r="B1292" s="66" t="s">
        <v>1018</v>
      </c>
      <c r="C1292" s="67"/>
      <c r="D1292" s="68"/>
      <c r="E1292" s="69"/>
      <c r="F1292" s="70"/>
      <c r="G1292" s="67"/>
      <c r="H1292" s="71"/>
      <c r="I1292" s="72"/>
      <c r="J1292" s="72"/>
      <c r="K1292" s="36"/>
      <c r="L1292" s="79">
        <v>1292</v>
      </c>
      <c r="M1292" s="79"/>
      <c r="N1292" s="74"/>
      <c r="O1292" s="81" t="s">
        <v>1235</v>
      </c>
    </row>
    <row r="1293" spans="1:15" ht="15">
      <c r="A1293" s="66" t="s">
        <v>220</v>
      </c>
      <c r="B1293" s="66" t="s">
        <v>1018</v>
      </c>
      <c r="C1293" s="67"/>
      <c r="D1293" s="68"/>
      <c r="E1293" s="69"/>
      <c r="F1293" s="70"/>
      <c r="G1293" s="67"/>
      <c r="H1293" s="71"/>
      <c r="I1293" s="72"/>
      <c r="J1293" s="72"/>
      <c r="K1293" s="36"/>
      <c r="L1293" s="79">
        <v>1293</v>
      </c>
      <c r="M1293" s="79"/>
      <c r="N1293" s="74"/>
      <c r="O1293" s="81" t="s">
        <v>1235</v>
      </c>
    </row>
    <row r="1294" spans="1:15" ht="15">
      <c r="A1294" s="66" t="s">
        <v>215</v>
      </c>
      <c r="B1294" s="66" t="s">
        <v>745</v>
      </c>
      <c r="C1294" s="67"/>
      <c r="D1294" s="68"/>
      <c r="E1294" s="69"/>
      <c r="F1294" s="70"/>
      <c r="G1294" s="67"/>
      <c r="H1294" s="71"/>
      <c r="I1294" s="72"/>
      <c r="J1294" s="72"/>
      <c r="K1294" s="36"/>
      <c r="L1294" s="79">
        <v>1294</v>
      </c>
      <c r="M1294" s="79"/>
      <c r="N1294" s="74"/>
      <c r="O1294" s="81" t="s">
        <v>1235</v>
      </c>
    </row>
    <row r="1295" spans="1:15" ht="15">
      <c r="A1295" s="66" t="s">
        <v>220</v>
      </c>
      <c r="B1295" s="66" t="s">
        <v>745</v>
      </c>
      <c r="C1295" s="67"/>
      <c r="D1295" s="68"/>
      <c r="E1295" s="69"/>
      <c r="F1295" s="70"/>
      <c r="G1295" s="67"/>
      <c r="H1295" s="71"/>
      <c r="I1295" s="72"/>
      <c r="J1295" s="72"/>
      <c r="K1295" s="36"/>
      <c r="L1295" s="79">
        <v>1295</v>
      </c>
      <c r="M1295" s="79"/>
      <c r="N1295" s="74"/>
      <c r="O1295" s="81" t="s">
        <v>1235</v>
      </c>
    </row>
    <row r="1296" spans="1:15" ht="15">
      <c r="A1296" s="66" t="s">
        <v>220</v>
      </c>
      <c r="B1296" s="66" t="s">
        <v>1019</v>
      </c>
      <c r="C1296" s="67"/>
      <c r="D1296" s="68"/>
      <c r="E1296" s="69"/>
      <c r="F1296" s="70"/>
      <c r="G1296" s="67"/>
      <c r="H1296" s="71"/>
      <c r="I1296" s="72"/>
      <c r="J1296" s="72"/>
      <c r="K1296" s="36"/>
      <c r="L1296" s="79">
        <v>1296</v>
      </c>
      <c r="M1296" s="79"/>
      <c r="N1296" s="74"/>
      <c r="O1296" s="81" t="s">
        <v>1235</v>
      </c>
    </row>
    <row r="1297" spans="1:15" ht="15">
      <c r="A1297" s="66" t="s">
        <v>220</v>
      </c>
      <c r="B1297" s="66" t="s">
        <v>1020</v>
      </c>
      <c r="C1297" s="67"/>
      <c r="D1297" s="68"/>
      <c r="E1297" s="69"/>
      <c r="F1297" s="70"/>
      <c r="G1297" s="67"/>
      <c r="H1297" s="71"/>
      <c r="I1297" s="72"/>
      <c r="J1297" s="72"/>
      <c r="K1297" s="36"/>
      <c r="L1297" s="79">
        <v>1297</v>
      </c>
      <c r="M1297" s="79"/>
      <c r="N1297" s="74"/>
      <c r="O1297" s="81" t="s">
        <v>1235</v>
      </c>
    </row>
    <row r="1298" spans="1:15" ht="15">
      <c r="A1298" s="66" t="s">
        <v>220</v>
      </c>
      <c r="B1298" s="66" t="s">
        <v>1021</v>
      </c>
      <c r="C1298" s="67"/>
      <c r="D1298" s="68"/>
      <c r="E1298" s="69"/>
      <c r="F1298" s="70"/>
      <c r="G1298" s="67"/>
      <c r="H1298" s="71"/>
      <c r="I1298" s="72"/>
      <c r="J1298" s="72"/>
      <c r="K1298" s="36"/>
      <c r="L1298" s="79">
        <v>1298</v>
      </c>
      <c r="M1298" s="79"/>
      <c r="N1298" s="74"/>
      <c r="O1298" s="81" t="s">
        <v>1235</v>
      </c>
    </row>
    <row r="1299" spans="1:15" ht="15">
      <c r="A1299" s="66" t="s">
        <v>220</v>
      </c>
      <c r="B1299" s="66" t="s">
        <v>1022</v>
      </c>
      <c r="C1299" s="67"/>
      <c r="D1299" s="68"/>
      <c r="E1299" s="69"/>
      <c r="F1299" s="70"/>
      <c r="G1299" s="67"/>
      <c r="H1299" s="71"/>
      <c r="I1299" s="72"/>
      <c r="J1299" s="72"/>
      <c r="K1299" s="36"/>
      <c r="L1299" s="79">
        <v>1299</v>
      </c>
      <c r="M1299" s="79"/>
      <c r="N1299" s="74"/>
      <c r="O1299" s="81" t="s">
        <v>1235</v>
      </c>
    </row>
    <row r="1300" spans="1:15" ht="15">
      <c r="A1300" s="66" t="s">
        <v>220</v>
      </c>
      <c r="B1300" s="66" t="s">
        <v>1023</v>
      </c>
      <c r="C1300" s="67"/>
      <c r="D1300" s="68"/>
      <c r="E1300" s="69"/>
      <c r="F1300" s="70"/>
      <c r="G1300" s="67"/>
      <c r="H1300" s="71"/>
      <c r="I1300" s="72"/>
      <c r="J1300" s="72"/>
      <c r="K1300" s="36"/>
      <c r="L1300" s="79">
        <v>1300</v>
      </c>
      <c r="M1300" s="79"/>
      <c r="N1300" s="74"/>
      <c r="O1300" s="81" t="s">
        <v>1235</v>
      </c>
    </row>
    <row r="1301" spans="1:15" ht="15">
      <c r="A1301" s="66" t="s">
        <v>188</v>
      </c>
      <c r="B1301" s="66" t="s">
        <v>1024</v>
      </c>
      <c r="C1301" s="67"/>
      <c r="D1301" s="68"/>
      <c r="E1301" s="69"/>
      <c r="F1301" s="70"/>
      <c r="G1301" s="67"/>
      <c r="H1301" s="71"/>
      <c r="I1301" s="72"/>
      <c r="J1301" s="72"/>
      <c r="K1301" s="36"/>
      <c r="L1301" s="79">
        <v>1301</v>
      </c>
      <c r="M1301" s="79"/>
      <c r="N1301" s="74"/>
      <c r="O1301" s="81" t="s">
        <v>1235</v>
      </c>
    </row>
    <row r="1302" spans="1:15" ht="15">
      <c r="A1302" s="66" t="s">
        <v>220</v>
      </c>
      <c r="B1302" s="66" t="s">
        <v>1024</v>
      </c>
      <c r="C1302" s="67"/>
      <c r="D1302" s="68"/>
      <c r="E1302" s="69"/>
      <c r="F1302" s="70"/>
      <c r="G1302" s="67"/>
      <c r="H1302" s="71"/>
      <c r="I1302" s="72"/>
      <c r="J1302" s="72"/>
      <c r="K1302" s="36"/>
      <c r="L1302" s="79">
        <v>1302</v>
      </c>
      <c r="M1302" s="79"/>
      <c r="N1302" s="74"/>
      <c r="O1302" s="81" t="s">
        <v>1235</v>
      </c>
    </row>
    <row r="1303" spans="1:15" ht="15">
      <c r="A1303" s="66" t="s">
        <v>220</v>
      </c>
      <c r="B1303" s="66" t="s">
        <v>1025</v>
      </c>
      <c r="C1303" s="67"/>
      <c r="D1303" s="68"/>
      <c r="E1303" s="69"/>
      <c r="F1303" s="70"/>
      <c r="G1303" s="67"/>
      <c r="H1303" s="71"/>
      <c r="I1303" s="72"/>
      <c r="J1303" s="72"/>
      <c r="K1303" s="36"/>
      <c r="L1303" s="79">
        <v>1303</v>
      </c>
      <c r="M1303" s="79"/>
      <c r="N1303" s="74"/>
      <c r="O1303" s="81" t="s">
        <v>1235</v>
      </c>
    </row>
    <row r="1304" spans="1:15" ht="15">
      <c r="A1304" s="66" t="s">
        <v>179</v>
      </c>
      <c r="B1304" s="66" t="s">
        <v>1026</v>
      </c>
      <c r="C1304" s="67"/>
      <c r="D1304" s="68"/>
      <c r="E1304" s="69"/>
      <c r="F1304" s="70"/>
      <c r="G1304" s="67"/>
      <c r="H1304" s="71"/>
      <c r="I1304" s="72"/>
      <c r="J1304" s="72"/>
      <c r="K1304" s="36"/>
      <c r="L1304" s="79">
        <v>1304</v>
      </c>
      <c r="M1304" s="79"/>
      <c r="N1304" s="74"/>
      <c r="O1304" s="81" t="s">
        <v>1235</v>
      </c>
    </row>
    <row r="1305" spans="1:15" ht="15">
      <c r="A1305" s="66" t="s">
        <v>220</v>
      </c>
      <c r="B1305" s="66" t="s">
        <v>1026</v>
      </c>
      <c r="C1305" s="67"/>
      <c r="D1305" s="68"/>
      <c r="E1305" s="69"/>
      <c r="F1305" s="70"/>
      <c r="G1305" s="67"/>
      <c r="H1305" s="71"/>
      <c r="I1305" s="72"/>
      <c r="J1305" s="72"/>
      <c r="K1305" s="36"/>
      <c r="L1305" s="79">
        <v>1305</v>
      </c>
      <c r="M1305" s="79"/>
      <c r="N1305" s="74"/>
      <c r="O1305" s="81" t="s">
        <v>1235</v>
      </c>
    </row>
    <row r="1306" spans="1:15" ht="15">
      <c r="A1306" s="66" t="s">
        <v>221</v>
      </c>
      <c r="B1306" s="66" t="s">
        <v>1027</v>
      </c>
      <c r="C1306" s="67"/>
      <c r="D1306" s="68"/>
      <c r="E1306" s="69"/>
      <c r="F1306" s="70"/>
      <c r="G1306" s="67"/>
      <c r="H1306" s="71"/>
      <c r="I1306" s="72"/>
      <c r="J1306" s="72"/>
      <c r="K1306" s="36"/>
      <c r="L1306" s="79">
        <v>1306</v>
      </c>
      <c r="M1306" s="79"/>
      <c r="N1306" s="74"/>
      <c r="O1306" s="81" t="s">
        <v>1235</v>
      </c>
    </row>
    <row r="1307" spans="1:15" ht="15">
      <c r="A1307" s="66" t="s">
        <v>179</v>
      </c>
      <c r="B1307" s="66" t="s">
        <v>1028</v>
      </c>
      <c r="C1307" s="67"/>
      <c r="D1307" s="68"/>
      <c r="E1307" s="69"/>
      <c r="F1307" s="70"/>
      <c r="G1307" s="67"/>
      <c r="H1307" s="71"/>
      <c r="I1307" s="72"/>
      <c r="J1307" s="72"/>
      <c r="K1307" s="36"/>
      <c r="L1307" s="79">
        <v>1307</v>
      </c>
      <c r="M1307" s="79"/>
      <c r="N1307" s="74"/>
      <c r="O1307" s="81" t="s">
        <v>1235</v>
      </c>
    </row>
    <row r="1308" spans="1:15" ht="15">
      <c r="A1308" s="66" t="s">
        <v>221</v>
      </c>
      <c r="B1308" s="66" t="s">
        <v>1028</v>
      </c>
      <c r="C1308" s="67"/>
      <c r="D1308" s="68"/>
      <c r="E1308" s="69"/>
      <c r="F1308" s="70"/>
      <c r="G1308" s="67"/>
      <c r="H1308" s="71"/>
      <c r="I1308" s="72"/>
      <c r="J1308" s="72"/>
      <c r="K1308" s="36"/>
      <c r="L1308" s="79">
        <v>1308</v>
      </c>
      <c r="M1308" s="79"/>
      <c r="N1308" s="74"/>
      <c r="O1308" s="81" t="s">
        <v>1235</v>
      </c>
    </row>
    <row r="1309" spans="1:15" ht="15">
      <c r="A1309" s="66" t="s">
        <v>221</v>
      </c>
      <c r="B1309" s="66" t="s">
        <v>1029</v>
      </c>
      <c r="C1309" s="67"/>
      <c r="D1309" s="68"/>
      <c r="E1309" s="69"/>
      <c r="F1309" s="70"/>
      <c r="G1309" s="67"/>
      <c r="H1309" s="71"/>
      <c r="I1309" s="72"/>
      <c r="J1309" s="72"/>
      <c r="K1309" s="36"/>
      <c r="L1309" s="79">
        <v>1309</v>
      </c>
      <c r="M1309" s="79"/>
      <c r="N1309" s="74"/>
      <c r="O1309" s="81" t="s">
        <v>1235</v>
      </c>
    </row>
    <row r="1310" spans="1:15" ht="15">
      <c r="A1310" s="66" t="s">
        <v>221</v>
      </c>
      <c r="B1310" s="66" t="s">
        <v>1030</v>
      </c>
      <c r="C1310" s="67"/>
      <c r="D1310" s="68"/>
      <c r="E1310" s="69"/>
      <c r="F1310" s="70"/>
      <c r="G1310" s="67"/>
      <c r="H1310" s="71"/>
      <c r="I1310" s="72"/>
      <c r="J1310" s="72"/>
      <c r="K1310" s="36"/>
      <c r="L1310" s="79">
        <v>1310</v>
      </c>
      <c r="M1310" s="79"/>
      <c r="N1310" s="74"/>
      <c r="O1310" s="81" t="s">
        <v>1235</v>
      </c>
    </row>
    <row r="1311" spans="1:15" ht="15">
      <c r="A1311" s="66" t="s">
        <v>221</v>
      </c>
      <c r="B1311" s="66" t="s">
        <v>1031</v>
      </c>
      <c r="C1311" s="67"/>
      <c r="D1311" s="68"/>
      <c r="E1311" s="69"/>
      <c r="F1311" s="70"/>
      <c r="G1311" s="67"/>
      <c r="H1311" s="71"/>
      <c r="I1311" s="72"/>
      <c r="J1311" s="72"/>
      <c r="K1311" s="36"/>
      <c r="L1311" s="79">
        <v>1311</v>
      </c>
      <c r="M1311" s="79"/>
      <c r="N1311" s="74"/>
      <c r="O1311" s="81" t="s">
        <v>1235</v>
      </c>
    </row>
    <row r="1312" spans="1:15" ht="15">
      <c r="A1312" s="66" t="s">
        <v>221</v>
      </c>
      <c r="B1312" s="66" t="s">
        <v>1032</v>
      </c>
      <c r="C1312" s="67"/>
      <c r="D1312" s="68"/>
      <c r="E1312" s="69"/>
      <c r="F1312" s="70"/>
      <c r="G1312" s="67"/>
      <c r="H1312" s="71"/>
      <c r="I1312" s="72"/>
      <c r="J1312" s="72"/>
      <c r="K1312" s="36"/>
      <c r="L1312" s="79">
        <v>1312</v>
      </c>
      <c r="M1312" s="79"/>
      <c r="N1312" s="74"/>
      <c r="O1312" s="81" t="s">
        <v>1235</v>
      </c>
    </row>
    <row r="1313" spans="1:15" ht="15">
      <c r="A1313" s="66" t="s">
        <v>221</v>
      </c>
      <c r="B1313" s="66" t="s">
        <v>340</v>
      </c>
      <c r="C1313" s="67"/>
      <c r="D1313" s="68"/>
      <c r="E1313" s="69"/>
      <c r="F1313" s="70"/>
      <c r="G1313" s="67"/>
      <c r="H1313" s="71"/>
      <c r="I1313" s="72"/>
      <c r="J1313" s="72"/>
      <c r="K1313" s="36"/>
      <c r="L1313" s="79">
        <v>1313</v>
      </c>
      <c r="M1313" s="79"/>
      <c r="N1313" s="74"/>
      <c r="O1313" s="81" t="s">
        <v>1235</v>
      </c>
    </row>
    <row r="1314" spans="1:15" ht="15">
      <c r="A1314" s="66" t="s">
        <v>179</v>
      </c>
      <c r="B1314" s="66" t="s">
        <v>1033</v>
      </c>
      <c r="C1314" s="67"/>
      <c r="D1314" s="68"/>
      <c r="E1314" s="69"/>
      <c r="F1314" s="70"/>
      <c r="G1314" s="67"/>
      <c r="H1314" s="71"/>
      <c r="I1314" s="72"/>
      <c r="J1314" s="72"/>
      <c r="K1314" s="36"/>
      <c r="L1314" s="79">
        <v>1314</v>
      </c>
      <c r="M1314" s="79"/>
      <c r="N1314" s="74"/>
      <c r="O1314" s="81" t="s">
        <v>1235</v>
      </c>
    </row>
    <row r="1315" spans="1:15" ht="15">
      <c r="A1315" s="66" t="s">
        <v>218</v>
      </c>
      <c r="B1315" s="66" t="s">
        <v>1033</v>
      </c>
      <c r="C1315" s="67"/>
      <c r="D1315" s="68"/>
      <c r="E1315" s="69"/>
      <c r="F1315" s="70"/>
      <c r="G1315" s="67"/>
      <c r="H1315" s="71"/>
      <c r="I1315" s="72"/>
      <c r="J1315" s="72"/>
      <c r="K1315" s="36"/>
      <c r="L1315" s="79">
        <v>1315</v>
      </c>
      <c r="M1315" s="79"/>
      <c r="N1315" s="74"/>
      <c r="O1315" s="81" t="s">
        <v>1235</v>
      </c>
    </row>
    <row r="1316" spans="1:15" ht="15">
      <c r="A1316" s="66" t="s">
        <v>221</v>
      </c>
      <c r="B1316" s="66" t="s">
        <v>1033</v>
      </c>
      <c r="C1316" s="67"/>
      <c r="D1316" s="68"/>
      <c r="E1316" s="69"/>
      <c r="F1316" s="70"/>
      <c r="G1316" s="67"/>
      <c r="H1316" s="71"/>
      <c r="I1316" s="72"/>
      <c r="J1316" s="72"/>
      <c r="K1316" s="36"/>
      <c r="L1316" s="79">
        <v>1316</v>
      </c>
      <c r="M1316" s="79"/>
      <c r="N1316" s="74"/>
      <c r="O1316" s="81" t="s">
        <v>1235</v>
      </c>
    </row>
    <row r="1317" spans="1:15" ht="15">
      <c r="A1317" s="66" t="s">
        <v>214</v>
      </c>
      <c r="B1317" s="66" t="s">
        <v>1034</v>
      </c>
      <c r="C1317" s="67"/>
      <c r="D1317" s="68"/>
      <c r="E1317" s="69"/>
      <c r="F1317" s="70"/>
      <c r="G1317" s="67"/>
      <c r="H1317" s="71"/>
      <c r="I1317" s="72"/>
      <c r="J1317" s="72"/>
      <c r="K1317" s="36"/>
      <c r="L1317" s="79">
        <v>1317</v>
      </c>
      <c r="M1317" s="79"/>
      <c r="N1317" s="74"/>
      <c r="O1317" s="81" t="s">
        <v>1235</v>
      </c>
    </row>
    <row r="1318" spans="1:15" ht="15">
      <c r="A1318" s="66" t="s">
        <v>221</v>
      </c>
      <c r="B1318" s="66" t="s">
        <v>1034</v>
      </c>
      <c r="C1318" s="67"/>
      <c r="D1318" s="68"/>
      <c r="E1318" s="69"/>
      <c r="F1318" s="70"/>
      <c r="G1318" s="67"/>
      <c r="H1318" s="71"/>
      <c r="I1318" s="72"/>
      <c r="J1318" s="72"/>
      <c r="K1318" s="36"/>
      <c r="L1318" s="79">
        <v>1318</v>
      </c>
      <c r="M1318" s="79"/>
      <c r="N1318" s="74"/>
      <c r="O1318" s="81" t="s">
        <v>1235</v>
      </c>
    </row>
    <row r="1319" spans="1:15" ht="15">
      <c r="A1319" s="66" t="s">
        <v>221</v>
      </c>
      <c r="B1319" s="66" t="s">
        <v>1035</v>
      </c>
      <c r="C1319" s="67"/>
      <c r="D1319" s="68"/>
      <c r="E1319" s="69"/>
      <c r="F1319" s="70"/>
      <c r="G1319" s="67"/>
      <c r="H1319" s="71"/>
      <c r="I1319" s="72"/>
      <c r="J1319" s="72"/>
      <c r="K1319" s="36"/>
      <c r="L1319" s="79">
        <v>1319</v>
      </c>
      <c r="M1319" s="79"/>
      <c r="N1319" s="74"/>
      <c r="O1319" s="81" t="s">
        <v>1235</v>
      </c>
    </row>
    <row r="1320" spans="1:15" ht="15">
      <c r="A1320" s="66" t="s">
        <v>207</v>
      </c>
      <c r="B1320" s="66" t="s">
        <v>696</v>
      </c>
      <c r="C1320" s="67"/>
      <c r="D1320" s="68"/>
      <c r="E1320" s="69"/>
      <c r="F1320" s="70"/>
      <c r="G1320" s="67"/>
      <c r="H1320" s="71"/>
      <c r="I1320" s="72"/>
      <c r="J1320" s="72"/>
      <c r="K1320" s="36"/>
      <c r="L1320" s="79">
        <v>1320</v>
      </c>
      <c r="M1320" s="79"/>
      <c r="N1320" s="74"/>
      <c r="O1320" s="81" t="s">
        <v>1235</v>
      </c>
    </row>
    <row r="1321" spans="1:15" ht="15">
      <c r="A1321" s="66" t="s">
        <v>221</v>
      </c>
      <c r="B1321" s="66" t="s">
        <v>696</v>
      </c>
      <c r="C1321" s="67"/>
      <c r="D1321" s="68"/>
      <c r="E1321" s="69"/>
      <c r="F1321" s="70"/>
      <c r="G1321" s="67"/>
      <c r="H1321" s="71"/>
      <c r="I1321" s="72"/>
      <c r="J1321" s="72"/>
      <c r="K1321" s="36"/>
      <c r="L1321" s="79">
        <v>1321</v>
      </c>
      <c r="M1321" s="79"/>
      <c r="N1321" s="74"/>
      <c r="O1321" s="81" t="s">
        <v>1235</v>
      </c>
    </row>
    <row r="1322" spans="1:15" ht="15">
      <c r="A1322" s="66" t="s">
        <v>221</v>
      </c>
      <c r="B1322" s="66" t="s">
        <v>1036</v>
      </c>
      <c r="C1322" s="67"/>
      <c r="D1322" s="68"/>
      <c r="E1322" s="69"/>
      <c r="F1322" s="70"/>
      <c r="G1322" s="67"/>
      <c r="H1322" s="71"/>
      <c r="I1322" s="72"/>
      <c r="J1322" s="72"/>
      <c r="K1322" s="36"/>
      <c r="L1322" s="79">
        <v>1322</v>
      </c>
      <c r="M1322" s="79"/>
      <c r="N1322" s="74"/>
      <c r="O1322" s="81" t="s">
        <v>1235</v>
      </c>
    </row>
    <row r="1323" spans="1:15" ht="15">
      <c r="A1323" s="66" t="s">
        <v>214</v>
      </c>
      <c r="B1323" s="66" t="s">
        <v>1037</v>
      </c>
      <c r="C1323" s="67"/>
      <c r="D1323" s="68"/>
      <c r="E1323" s="69"/>
      <c r="F1323" s="70"/>
      <c r="G1323" s="67"/>
      <c r="H1323" s="71"/>
      <c r="I1323" s="72"/>
      <c r="J1323" s="72"/>
      <c r="K1323" s="36"/>
      <c r="L1323" s="79">
        <v>1323</v>
      </c>
      <c r="M1323" s="79"/>
      <c r="N1323" s="74"/>
      <c r="O1323" s="81" t="s">
        <v>1235</v>
      </c>
    </row>
    <row r="1324" spans="1:15" ht="15">
      <c r="A1324" s="66" t="s">
        <v>221</v>
      </c>
      <c r="B1324" s="66" t="s">
        <v>1037</v>
      </c>
      <c r="C1324" s="67"/>
      <c r="D1324" s="68"/>
      <c r="E1324" s="69"/>
      <c r="F1324" s="70"/>
      <c r="G1324" s="67"/>
      <c r="H1324" s="71"/>
      <c r="I1324" s="72"/>
      <c r="J1324" s="72"/>
      <c r="K1324" s="36"/>
      <c r="L1324" s="79">
        <v>1324</v>
      </c>
      <c r="M1324" s="79"/>
      <c r="N1324" s="74"/>
      <c r="O1324" s="81" t="s">
        <v>1235</v>
      </c>
    </row>
    <row r="1325" spans="1:15" ht="15">
      <c r="A1325" s="66" t="s">
        <v>188</v>
      </c>
      <c r="B1325" s="66" t="s">
        <v>1038</v>
      </c>
      <c r="C1325" s="67"/>
      <c r="D1325" s="68"/>
      <c r="E1325" s="69"/>
      <c r="F1325" s="70"/>
      <c r="G1325" s="67"/>
      <c r="H1325" s="71"/>
      <c r="I1325" s="72"/>
      <c r="J1325" s="72"/>
      <c r="K1325" s="36"/>
      <c r="L1325" s="79">
        <v>1325</v>
      </c>
      <c r="M1325" s="79"/>
      <c r="N1325" s="74"/>
      <c r="O1325" s="81" t="s">
        <v>1235</v>
      </c>
    </row>
    <row r="1326" spans="1:15" ht="15">
      <c r="A1326" s="66" t="s">
        <v>221</v>
      </c>
      <c r="B1326" s="66" t="s">
        <v>1038</v>
      </c>
      <c r="C1326" s="67"/>
      <c r="D1326" s="68"/>
      <c r="E1326" s="69"/>
      <c r="F1326" s="70"/>
      <c r="G1326" s="67"/>
      <c r="H1326" s="71"/>
      <c r="I1326" s="72"/>
      <c r="J1326" s="72"/>
      <c r="K1326" s="36"/>
      <c r="L1326" s="79">
        <v>1326</v>
      </c>
      <c r="M1326" s="79"/>
      <c r="N1326" s="74"/>
      <c r="O1326" s="81" t="s">
        <v>1235</v>
      </c>
    </row>
    <row r="1327" spans="1:15" ht="15">
      <c r="A1327" s="66" t="s">
        <v>221</v>
      </c>
      <c r="B1327" s="66" t="s">
        <v>1039</v>
      </c>
      <c r="C1327" s="67"/>
      <c r="D1327" s="68"/>
      <c r="E1327" s="69"/>
      <c r="F1327" s="70"/>
      <c r="G1327" s="67"/>
      <c r="H1327" s="71"/>
      <c r="I1327" s="72"/>
      <c r="J1327" s="72"/>
      <c r="K1327" s="36"/>
      <c r="L1327" s="79">
        <v>1327</v>
      </c>
      <c r="M1327" s="79"/>
      <c r="N1327" s="74"/>
      <c r="O1327" s="81" t="s">
        <v>1235</v>
      </c>
    </row>
    <row r="1328" spans="1:15" ht="15">
      <c r="A1328" s="66" t="s">
        <v>221</v>
      </c>
      <c r="B1328" s="66" t="s">
        <v>1040</v>
      </c>
      <c r="C1328" s="67"/>
      <c r="D1328" s="68"/>
      <c r="E1328" s="69"/>
      <c r="F1328" s="70"/>
      <c r="G1328" s="67"/>
      <c r="H1328" s="71"/>
      <c r="I1328" s="72"/>
      <c r="J1328" s="72"/>
      <c r="K1328" s="36"/>
      <c r="L1328" s="79">
        <v>1328</v>
      </c>
      <c r="M1328" s="79"/>
      <c r="N1328" s="74"/>
      <c r="O1328" s="81" t="s">
        <v>1235</v>
      </c>
    </row>
    <row r="1329" spans="1:15" ht="15">
      <c r="A1329" s="66" t="s">
        <v>221</v>
      </c>
      <c r="B1329" s="66" t="s">
        <v>1041</v>
      </c>
      <c r="C1329" s="67"/>
      <c r="D1329" s="68"/>
      <c r="E1329" s="69"/>
      <c r="F1329" s="70"/>
      <c r="G1329" s="67"/>
      <c r="H1329" s="71"/>
      <c r="I1329" s="72"/>
      <c r="J1329" s="72"/>
      <c r="K1329" s="36"/>
      <c r="L1329" s="79">
        <v>1329</v>
      </c>
      <c r="M1329" s="79"/>
      <c r="N1329" s="74"/>
      <c r="O1329" s="81" t="s">
        <v>1235</v>
      </c>
    </row>
    <row r="1330" spans="1:15" ht="15">
      <c r="A1330" s="66" t="s">
        <v>221</v>
      </c>
      <c r="B1330" s="66" t="s">
        <v>525</v>
      </c>
      <c r="C1330" s="67"/>
      <c r="D1330" s="68"/>
      <c r="E1330" s="69"/>
      <c r="F1330" s="70"/>
      <c r="G1330" s="67"/>
      <c r="H1330" s="71"/>
      <c r="I1330" s="72"/>
      <c r="J1330" s="72"/>
      <c r="K1330" s="36"/>
      <c r="L1330" s="79">
        <v>1330</v>
      </c>
      <c r="M1330" s="79"/>
      <c r="N1330" s="74"/>
      <c r="O1330" s="81" t="s">
        <v>1235</v>
      </c>
    </row>
    <row r="1331" spans="1:15" ht="15">
      <c r="A1331" s="66" t="s">
        <v>221</v>
      </c>
      <c r="B1331" s="66" t="s">
        <v>1042</v>
      </c>
      <c r="C1331" s="67"/>
      <c r="D1331" s="68"/>
      <c r="E1331" s="69"/>
      <c r="F1331" s="70"/>
      <c r="G1331" s="67"/>
      <c r="H1331" s="71"/>
      <c r="I1331" s="72"/>
      <c r="J1331" s="72"/>
      <c r="K1331" s="36"/>
      <c r="L1331" s="79">
        <v>1331</v>
      </c>
      <c r="M1331" s="79"/>
      <c r="N1331" s="74"/>
      <c r="O1331" s="81" t="s">
        <v>1235</v>
      </c>
    </row>
    <row r="1332" spans="1:15" ht="15">
      <c r="A1332" s="66" t="s">
        <v>207</v>
      </c>
      <c r="B1332" s="66" t="s">
        <v>390</v>
      </c>
      <c r="C1332" s="67"/>
      <c r="D1332" s="68"/>
      <c r="E1332" s="69"/>
      <c r="F1332" s="70"/>
      <c r="G1332" s="67"/>
      <c r="H1332" s="71"/>
      <c r="I1332" s="72"/>
      <c r="J1332" s="72"/>
      <c r="K1332" s="36"/>
      <c r="L1332" s="79">
        <v>1332</v>
      </c>
      <c r="M1332" s="79"/>
      <c r="N1332" s="74"/>
      <c r="O1332" s="81" t="s">
        <v>1235</v>
      </c>
    </row>
    <row r="1333" spans="1:15" ht="15">
      <c r="A1333" s="66" t="s">
        <v>218</v>
      </c>
      <c r="B1333" s="66" t="s">
        <v>390</v>
      </c>
      <c r="C1333" s="67"/>
      <c r="D1333" s="68"/>
      <c r="E1333" s="69"/>
      <c r="F1333" s="70"/>
      <c r="G1333" s="67"/>
      <c r="H1333" s="71"/>
      <c r="I1333" s="72"/>
      <c r="J1333" s="72"/>
      <c r="K1333" s="36"/>
      <c r="L1333" s="79">
        <v>1333</v>
      </c>
      <c r="M1333" s="79"/>
      <c r="N1333" s="74"/>
      <c r="O1333" s="81" t="s">
        <v>1235</v>
      </c>
    </row>
    <row r="1334" spans="1:15" ht="15">
      <c r="A1334" s="66" t="s">
        <v>221</v>
      </c>
      <c r="B1334" s="66" t="s">
        <v>390</v>
      </c>
      <c r="C1334" s="67"/>
      <c r="D1334" s="68"/>
      <c r="E1334" s="69"/>
      <c r="F1334" s="70"/>
      <c r="G1334" s="67"/>
      <c r="H1334" s="71"/>
      <c r="I1334" s="72"/>
      <c r="J1334" s="72"/>
      <c r="K1334" s="36"/>
      <c r="L1334" s="79">
        <v>1334</v>
      </c>
      <c r="M1334" s="79"/>
      <c r="N1334" s="74"/>
      <c r="O1334" s="81" t="s">
        <v>1235</v>
      </c>
    </row>
    <row r="1335" spans="1:15" ht="15">
      <c r="A1335" s="66" t="s">
        <v>193</v>
      </c>
      <c r="B1335" s="66" t="s">
        <v>289</v>
      </c>
      <c r="C1335" s="67"/>
      <c r="D1335" s="68"/>
      <c r="E1335" s="69"/>
      <c r="F1335" s="70"/>
      <c r="G1335" s="67"/>
      <c r="H1335" s="71"/>
      <c r="I1335" s="72"/>
      <c r="J1335" s="72"/>
      <c r="K1335" s="36"/>
      <c r="L1335" s="79">
        <v>1335</v>
      </c>
      <c r="M1335" s="79"/>
      <c r="N1335" s="74"/>
      <c r="O1335" s="81" t="s">
        <v>1235</v>
      </c>
    </row>
    <row r="1336" spans="1:15" ht="15">
      <c r="A1336" s="66" t="s">
        <v>214</v>
      </c>
      <c r="B1336" s="66" t="s">
        <v>289</v>
      </c>
      <c r="C1336" s="67"/>
      <c r="D1336" s="68"/>
      <c r="E1336" s="69"/>
      <c r="F1336" s="70"/>
      <c r="G1336" s="67"/>
      <c r="H1336" s="71"/>
      <c r="I1336" s="72"/>
      <c r="J1336" s="72"/>
      <c r="K1336" s="36"/>
      <c r="L1336" s="79">
        <v>1336</v>
      </c>
      <c r="M1336" s="79"/>
      <c r="N1336" s="74"/>
      <c r="O1336" s="81" t="s">
        <v>1235</v>
      </c>
    </row>
    <row r="1337" spans="1:15" ht="15">
      <c r="A1337" s="66" t="s">
        <v>220</v>
      </c>
      <c r="B1337" s="66" t="s">
        <v>289</v>
      </c>
      <c r="C1337" s="67"/>
      <c r="D1337" s="68"/>
      <c r="E1337" s="69"/>
      <c r="F1337" s="70"/>
      <c r="G1337" s="67"/>
      <c r="H1337" s="71"/>
      <c r="I1337" s="72"/>
      <c r="J1337" s="72"/>
      <c r="K1337" s="36"/>
      <c r="L1337" s="79">
        <v>1337</v>
      </c>
      <c r="M1337" s="79"/>
      <c r="N1337" s="74"/>
      <c r="O1337" s="81" t="s">
        <v>1235</v>
      </c>
    </row>
    <row r="1338" spans="1:15" ht="15">
      <c r="A1338" s="66" t="s">
        <v>221</v>
      </c>
      <c r="B1338" s="66" t="s">
        <v>289</v>
      </c>
      <c r="C1338" s="67"/>
      <c r="D1338" s="68"/>
      <c r="E1338" s="69"/>
      <c r="F1338" s="70"/>
      <c r="G1338" s="67"/>
      <c r="H1338" s="71"/>
      <c r="I1338" s="72"/>
      <c r="J1338" s="72"/>
      <c r="K1338" s="36"/>
      <c r="L1338" s="79">
        <v>1338</v>
      </c>
      <c r="M1338" s="79"/>
      <c r="N1338" s="74"/>
      <c r="O1338" s="81" t="s">
        <v>1235</v>
      </c>
    </row>
    <row r="1339" spans="1:15" ht="15">
      <c r="A1339" s="66" t="s">
        <v>221</v>
      </c>
      <c r="B1339" s="66" t="s">
        <v>526</v>
      </c>
      <c r="C1339" s="67"/>
      <c r="D1339" s="68"/>
      <c r="E1339" s="69"/>
      <c r="F1339" s="70"/>
      <c r="G1339" s="67"/>
      <c r="H1339" s="71"/>
      <c r="I1339" s="72"/>
      <c r="J1339" s="72"/>
      <c r="K1339" s="36"/>
      <c r="L1339" s="79">
        <v>1339</v>
      </c>
      <c r="M1339" s="79"/>
      <c r="N1339" s="74"/>
      <c r="O1339" s="81" t="s">
        <v>1235</v>
      </c>
    </row>
    <row r="1340" spans="1:15" ht="15">
      <c r="A1340" s="66" t="s">
        <v>214</v>
      </c>
      <c r="B1340" s="66" t="s">
        <v>1043</v>
      </c>
      <c r="C1340" s="67"/>
      <c r="D1340" s="68"/>
      <c r="E1340" s="69"/>
      <c r="F1340" s="70"/>
      <c r="G1340" s="67"/>
      <c r="H1340" s="71"/>
      <c r="I1340" s="72"/>
      <c r="J1340" s="72"/>
      <c r="K1340" s="36"/>
      <c r="L1340" s="79">
        <v>1340</v>
      </c>
      <c r="M1340" s="79"/>
      <c r="N1340" s="74"/>
      <c r="O1340" s="81" t="s">
        <v>1235</v>
      </c>
    </row>
    <row r="1341" spans="1:15" ht="15">
      <c r="A1341" s="66" t="s">
        <v>221</v>
      </c>
      <c r="B1341" s="66" t="s">
        <v>1043</v>
      </c>
      <c r="C1341" s="67"/>
      <c r="D1341" s="68"/>
      <c r="E1341" s="69"/>
      <c r="F1341" s="70"/>
      <c r="G1341" s="67"/>
      <c r="H1341" s="71"/>
      <c r="I1341" s="72"/>
      <c r="J1341" s="72"/>
      <c r="K1341" s="36"/>
      <c r="L1341" s="79">
        <v>1341</v>
      </c>
      <c r="M1341" s="79"/>
      <c r="N1341" s="74"/>
      <c r="O1341" s="81" t="s">
        <v>1235</v>
      </c>
    </row>
    <row r="1342" spans="1:15" ht="15">
      <c r="A1342" s="66" t="s">
        <v>221</v>
      </c>
      <c r="B1342" s="66" t="s">
        <v>1044</v>
      </c>
      <c r="C1342" s="67"/>
      <c r="D1342" s="68"/>
      <c r="E1342" s="69"/>
      <c r="F1342" s="70"/>
      <c r="G1342" s="67"/>
      <c r="H1342" s="71"/>
      <c r="I1342" s="72"/>
      <c r="J1342" s="72"/>
      <c r="K1342" s="36"/>
      <c r="L1342" s="79">
        <v>1342</v>
      </c>
      <c r="M1342" s="79"/>
      <c r="N1342" s="74"/>
      <c r="O1342" s="81" t="s">
        <v>1235</v>
      </c>
    </row>
    <row r="1343" spans="1:15" ht="15">
      <c r="A1343" s="66" t="s">
        <v>221</v>
      </c>
      <c r="B1343" s="66" t="s">
        <v>649</v>
      </c>
      <c r="C1343" s="67"/>
      <c r="D1343" s="68"/>
      <c r="E1343" s="69"/>
      <c r="F1343" s="70"/>
      <c r="G1343" s="67"/>
      <c r="H1343" s="71"/>
      <c r="I1343" s="72"/>
      <c r="J1343" s="72"/>
      <c r="K1343" s="36"/>
      <c r="L1343" s="79">
        <v>1343</v>
      </c>
      <c r="M1343" s="79"/>
      <c r="N1343" s="74"/>
      <c r="O1343" s="81" t="s">
        <v>1235</v>
      </c>
    </row>
    <row r="1344" spans="1:15" ht="15">
      <c r="A1344" s="66" t="s">
        <v>221</v>
      </c>
      <c r="B1344" s="66" t="s">
        <v>1045</v>
      </c>
      <c r="C1344" s="67"/>
      <c r="D1344" s="68"/>
      <c r="E1344" s="69"/>
      <c r="F1344" s="70"/>
      <c r="G1344" s="67"/>
      <c r="H1344" s="71"/>
      <c r="I1344" s="72"/>
      <c r="J1344" s="72"/>
      <c r="K1344" s="36"/>
      <c r="L1344" s="79">
        <v>1344</v>
      </c>
      <c r="M1344" s="79"/>
      <c r="N1344" s="74"/>
      <c r="O1344" s="81" t="s">
        <v>1235</v>
      </c>
    </row>
    <row r="1345" spans="1:15" ht="15">
      <c r="A1345" s="66" t="s">
        <v>221</v>
      </c>
      <c r="B1345" s="66" t="s">
        <v>808</v>
      </c>
      <c r="C1345" s="67"/>
      <c r="D1345" s="68"/>
      <c r="E1345" s="69"/>
      <c r="F1345" s="70"/>
      <c r="G1345" s="67"/>
      <c r="H1345" s="71"/>
      <c r="I1345" s="72"/>
      <c r="J1345" s="72"/>
      <c r="K1345" s="36"/>
      <c r="L1345" s="79">
        <v>1345</v>
      </c>
      <c r="M1345" s="79"/>
      <c r="N1345" s="74"/>
      <c r="O1345" s="81" t="s">
        <v>1235</v>
      </c>
    </row>
    <row r="1346" spans="1:15" ht="15">
      <c r="A1346" s="66" t="s">
        <v>221</v>
      </c>
      <c r="B1346" s="66" t="s">
        <v>1046</v>
      </c>
      <c r="C1346" s="67"/>
      <c r="D1346" s="68"/>
      <c r="E1346" s="69"/>
      <c r="F1346" s="70"/>
      <c r="G1346" s="67"/>
      <c r="H1346" s="71"/>
      <c r="I1346" s="72"/>
      <c r="J1346" s="72"/>
      <c r="K1346" s="36"/>
      <c r="L1346" s="79">
        <v>1346</v>
      </c>
      <c r="M1346" s="79"/>
      <c r="N1346" s="74"/>
      <c r="O1346" s="81" t="s">
        <v>1235</v>
      </c>
    </row>
    <row r="1347" spans="1:15" ht="15">
      <c r="A1347" s="66" t="s">
        <v>214</v>
      </c>
      <c r="B1347" s="66" t="s">
        <v>1047</v>
      </c>
      <c r="C1347" s="67"/>
      <c r="D1347" s="68"/>
      <c r="E1347" s="69"/>
      <c r="F1347" s="70"/>
      <c r="G1347" s="67"/>
      <c r="H1347" s="71"/>
      <c r="I1347" s="72"/>
      <c r="J1347" s="72"/>
      <c r="K1347" s="36"/>
      <c r="L1347" s="79">
        <v>1347</v>
      </c>
      <c r="M1347" s="79"/>
      <c r="N1347" s="74"/>
      <c r="O1347" s="81" t="s">
        <v>1235</v>
      </c>
    </row>
    <row r="1348" spans="1:15" ht="15">
      <c r="A1348" s="66" t="s">
        <v>220</v>
      </c>
      <c r="B1348" s="66" t="s">
        <v>1047</v>
      </c>
      <c r="C1348" s="67"/>
      <c r="D1348" s="68"/>
      <c r="E1348" s="69"/>
      <c r="F1348" s="70"/>
      <c r="G1348" s="67"/>
      <c r="H1348" s="71"/>
      <c r="I1348" s="72"/>
      <c r="J1348" s="72"/>
      <c r="K1348" s="36"/>
      <c r="L1348" s="79">
        <v>1348</v>
      </c>
      <c r="M1348" s="79"/>
      <c r="N1348" s="74"/>
      <c r="O1348" s="81" t="s">
        <v>1235</v>
      </c>
    </row>
    <row r="1349" spans="1:15" ht="15">
      <c r="A1349" s="66" t="s">
        <v>221</v>
      </c>
      <c r="B1349" s="66" t="s">
        <v>1047</v>
      </c>
      <c r="C1349" s="67"/>
      <c r="D1349" s="68"/>
      <c r="E1349" s="69"/>
      <c r="F1349" s="70"/>
      <c r="G1349" s="67"/>
      <c r="H1349" s="71"/>
      <c r="I1349" s="72"/>
      <c r="J1349" s="72"/>
      <c r="K1349" s="36"/>
      <c r="L1349" s="79">
        <v>1349</v>
      </c>
      <c r="M1349" s="79"/>
      <c r="N1349" s="74"/>
      <c r="O1349" s="81" t="s">
        <v>1235</v>
      </c>
    </row>
    <row r="1350" spans="1:15" ht="15">
      <c r="A1350" s="66" t="s">
        <v>221</v>
      </c>
      <c r="B1350" s="66" t="s">
        <v>1048</v>
      </c>
      <c r="C1350" s="67"/>
      <c r="D1350" s="68"/>
      <c r="E1350" s="69"/>
      <c r="F1350" s="70"/>
      <c r="G1350" s="67"/>
      <c r="H1350" s="71"/>
      <c r="I1350" s="72"/>
      <c r="J1350" s="72"/>
      <c r="K1350" s="36"/>
      <c r="L1350" s="79">
        <v>1350</v>
      </c>
      <c r="M1350" s="79"/>
      <c r="N1350" s="74"/>
      <c r="O1350" s="81" t="s">
        <v>1235</v>
      </c>
    </row>
    <row r="1351" spans="1:15" ht="15">
      <c r="A1351" s="66" t="s">
        <v>221</v>
      </c>
      <c r="B1351" s="66" t="s">
        <v>1049</v>
      </c>
      <c r="C1351" s="67"/>
      <c r="D1351" s="68"/>
      <c r="E1351" s="69"/>
      <c r="F1351" s="70"/>
      <c r="G1351" s="67"/>
      <c r="H1351" s="71"/>
      <c r="I1351" s="72"/>
      <c r="J1351" s="72"/>
      <c r="K1351" s="36"/>
      <c r="L1351" s="79">
        <v>1351</v>
      </c>
      <c r="M1351" s="79"/>
      <c r="N1351" s="74"/>
      <c r="O1351" s="81" t="s">
        <v>1235</v>
      </c>
    </row>
    <row r="1352" spans="1:15" ht="15">
      <c r="A1352" s="66" t="s">
        <v>222</v>
      </c>
      <c r="B1352" s="66" t="s">
        <v>1050</v>
      </c>
      <c r="C1352" s="67"/>
      <c r="D1352" s="68"/>
      <c r="E1352" s="69"/>
      <c r="F1352" s="70"/>
      <c r="G1352" s="67"/>
      <c r="H1352" s="71"/>
      <c r="I1352" s="72"/>
      <c r="J1352" s="72"/>
      <c r="K1352" s="36"/>
      <c r="L1352" s="79">
        <v>1352</v>
      </c>
      <c r="M1352" s="79"/>
      <c r="N1352" s="74"/>
      <c r="O1352" s="81" t="s">
        <v>1235</v>
      </c>
    </row>
    <row r="1353" spans="1:15" ht="15">
      <c r="A1353" s="66" t="s">
        <v>218</v>
      </c>
      <c r="B1353" s="66" t="s">
        <v>1051</v>
      </c>
      <c r="C1353" s="67"/>
      <c r="D1353" s="68"/>
      <c r="E1353" s="69"/>
      <c r="F1353" s="70"/>
      <c r="G1353" s="67"/>
      <c r="H1353" s="71"/>
      <c r="I1353" s="72"/>
      <c r="J1353" s="72"/>
      <c r="K1353" s="36"/>
      <c r="L1353" s="79">
        <v>1353</v>
      </c>
      <c r="M1353" s="79"/>
      <c r="N1353" s="74"/>
      <c r="O1353" s="81" t="s">
        <v>1235</v>
      </c>
    </row>
    <row r="1354" spans="1:15" ht="15">
      <c r="A1354" s="66" t="s">
        <v>222</v>
      </c>
      <c r="B1354" s="66" t="s">
        <v>1051</v>
      </c>
      <c r="C1354" s="67"/>
      <c r="D1354" s="68"/>
      <c r="E1354" s="69"/>
      <c r="F1354" s="70"/>
      <c r="G1354" s="67"/>
      <c r="H1354" s="71"/>
      <c r="I1354" s="72"/>
      <c r="J1354" s="72"/>
      <c r="K1354" s="36"/>
      <c r="L1354" s="79">
        <v>1354</v>
      </c>
      <c r="M1354" s="79"/>
      <c r="N1354" s="74"/>
      <c r="O1354" s="81" t="s">
        <v>1235</v>
      </c>
    </row>
    <row r="1355" spans="1:15" ht="15">
      <c r="A1355" s="66" t="s">
        <v>222</v>
      </c>
      <c r="B1355" s="66" t="s">
        <v>1052</v>
      </c>
      <c r="C1355" s="67"/>
      <c r="D1355" s="68"/>
      <c r="E1355" s="69"/>
      <c r="F1355" s="70"/>
      <c r="G1355" s="67"/>
      <c r="H1355" s="71"/>
      <c r="I1355" s="72"/>
      <c r="J1355" s="72"/>
      <c r="K1355" s="36"/>
      <c r="L1355" s="79">
        <v>1355</v>
      </c>
      <c r="M1355" s="79"/>
      <c r="N1355" s="74"/>
      <c r="O1355" s="81" t="s">
        <v>1235</v>
      </c>
    </row>
    <row r="1356" spans="1:15" ht="15">
      <c r="A1356" s="66" t="s">
        <v>222</v>
      </c>
      <c r="B1356" s="66" t="s">
        <v>1053</v>
      </c>
      <c r="C1356" s="67"/>
      <c r="D1356" s="68"/>
      <c r="E1356" s="69"/>
      <c r="F1356" s="70"/>
      <c r="G1356" s="67"/>
      <c r="H1356" s="71"/>
      <c r="I1356" s="72"/>
      <c r="J1356" s="72"/>
      <c r="K1356" s="36"/>
      <c r="L1356" s="79">
        <v>1356</v>
      </c>
      <c r="M1356" s="79"/>
      <c r="N1356" s="74"/>
      <c r="O1356" s="81" t="s">
        <v>1235</v>
      </c>
    </row>
    <row r="1357" spans="1:15" ht="15">
      <c r="A1357" s="66" t="s">
        <v>222</v>
      </c>
      <c r="B1357" s="66" t="s">
        <v>1054</v>
      </c>
      <c r="C1357" s="67"/>
      <c r="D1357" s="68"/>
      <c r="E1357" s="69"/>
      <c r="F1357" s="70"/>
      <c r="G1357" s="67"/>
      <c r="H1357" s="71"/>
      <c r="I1357" s="72"/>
      <c r="J1357" s="72"/>
      <c r="K1357" s="36"/>
      <c r="L1357" s="79">
        <v>1357</v>
      </c>
      <c r="M1357" s="79"/>
      <c r="N1357" s="74"/>
      <c r="O1357" s="81" t="s">
        <v>1235</v>
      </c>
    </row>
    <row r="1358" spans="1:15" ht="15">
      <c r="A1358" s="66" t="s">
        <v>222</v>
      </c>
      <c r="B1358" s="66" t="s">
        <v>1055</v>
      </c>
      <c r="C1358" s="67"/>
      <c r="D1358" s="68"/>
      <c r="E1358" s="69"/>
      <c r="F1358" s="70"/>
      <c r="G1358" s="67"/>
      <c r="H1358" s="71"/>
      <c r="I1358" s="72"/>
      <c r="J1358" s="72"/>
      <c r="K1358" s="36"/>
      <c r="L1358" s="79">
        <v>1358</v>
      </c>
      <c r="M1358" s="79"/>
      <c r="N1358" s="74"/>
      <c r="O1358" s="81" t="s">
        <v>1235</v>
      </c>
    </row>
    <row r="1359" spans="1:15" ht="15">
      <c r="A1359" s="66" t="s">
        <v>222</v>
      </c>
      <c r="B1359" s="66" t="s">
        <v>1056</v>
      </c>
      <c r="C1359" s="67"/>
      <c r="D1359" s="68"/>
      <c r="E1359" s="69"/>
      <c r="F1359" s="70"/>
      <c r="G1359" s="67"/>
      <c r="H1359" s="71"/>
      <c r="I1359" s="72"/>
      <c r="J1359" s="72"/>
      <c r="K1359" s="36"/>
      <c r="L1359" s="79">
        <v>1359</v>
      </c>
      <c r="M1359" s="79"/>
      <c r="N1359" s="74"/>
      <c r="O1359" s="81" t="s">
        <v>1235</v>
      </c>
    </row>
    <row r="1360" spans="1:15" ht="15">
      <c r="A1360" s="66" t="s">
        <v>222</v>
      </c>
      <c r="B1360" s="66" t="s">
        <v>1057</v>
      </c>
      <c r="C1360" s="67"/>
      <c r="D1360" s="68"/>
      <c r="E1360" s="69"/>
      <c r="F1360" s="70"/>
      <c r="G1360" s="67"/>
      <c r="H1360" s="71"/>
      <c r="I1360" s="72"/>
      <c r="J1360" s="72"/>
      <c r="K1360" s="36"/>
      <c r="L1360" s="79">
        <v>1360</v>
      </c>
      <c r="M1360" s="79"/>
      <c r="N1360" s="74"/>
      <c r="O1360" s="81" t="s">
        <v>1235</v>
      </c>
    </row>
    <row r="1361" spans="1:15" ht="15">
      <c r="A1361" s="66" t="s">
        <v>222</v>
      </c>
      <c r="B1361" s="66" t="s">
        <v>1058</v>
      </c>
      <c r="C1361" s="67"/>
      <c r="D1361" s="68"/>
      <c r="E1361" s="69"/>
      <c r="F1361" s="70"/>
      <c r="G1361" s="67"/>
      <c r="H1361" s="71"/>
      <c r="I1361" s="72"/>
      <c r="J1361" s="72"/>
      <c r="K1361" s="36"/>
      <c r="L1361" s="79">
        <v>1361</v>
      </c>
      <c r="M1361" s="79"/>
      <c r="N1361" s="74"/>
      <c r="O1361" s="81" t="s">
        <v>1235</v>
      </c>
    </row>
    <row r="1362" spans="1:15" ht="15">
      <c r="A1362" s="66" t="s">
        <v>222</v>
      </c>
      <c r="B1362" s="66" t="s">
        <v>1059</v>
      </c>
      <c r="C1362" s="67"/>
      <c r="D1362" s="68"/>
      <c r="E1362" s="69"/>
      <c r="F1362" s="70"/>
      <c r="G1362" s="67"/>
      <c r="H1362" s="71"/>
      <c r="I1362" s="72"/>
      <c r="J1362" s="72"/>
      <c r="K1362" s="36"/>
      <c r="L1362" s="79">
        <v>1362</v>
      </c>
      <c r="M1362" s="79"/>
      <c r="N1362" s="74"/>
      <c r="O1362" s="81" t="s">
        <v>1235</v>
      </c>
    </row>
    <row r="1363" spans="1:15" ht="15">
      <c r="A1363" s="66" t="s">
        <v>188</v>
      </c>
      <c r="B1363" s="66" t="s">
        <v>291</v>
      </c>
      <c r="C1363" s="67"/>
      <c r="D1363" s="68"/>
      <c r="E1363" s="69"/>
      <c r="F1363" s="70"/>
      <c r="G1363" s="67"/>
      <c r="H1363" s="71"/>
      <c r="I1363" s="72"/>
      <c r="J1363" s="72"/>
      <c r="K1363" s="36"/>
      <c r="L1363" s="79">
        <v>1363</v>
      </c>
      <c r="M1363" s="79"/>
      <c r="N1363" s="74"/>
      <c r="O1363" s="81" t="s">
        <v>1235</v>
      </c>
    </row>
    <row r="1364" spans="1:15" ht="15">
      <c r="A1364" s="66" t="s">
        <v>222</v>
      </c>
      <c r="B1364" s="66" t="s">
        <v>291</v>
      </c>
      <c r="C1364" s="67"/>
      <c r="D1364" s="68"/>
      <c r="E1364" s="69"/>
      <c r="F1364" s="70"/>
      <c r="G1364" s="67"/>
      <c r="H1364" s="71"/>
      <c r="I1364" s="72"/>
      <c r="J1364" s="72"/>
      <c r="K1364" s="36"/>
      <c r="L1364" s="79">
        <v>1364</v>
      </c>
      <c r="M1364" s="79"/>
      <c r="N1364" s="74"/>
      <c r="O1364" s="81" t="s">
        <v>1235</v>
      </c>
    </row>
    <row r="1365" spans="1:15" ht="15">
      <c r="A1365" s="66" t="s">
        <v>222</v>
      </c>
      <c r="B1365" s="66" t="s">
        <v>1060</v>
      </c>
      <c r="C1365" s="67"/>
      <c r="D1365" s="68"/>
      <c r="E1365" s="69"/>
      <c r="F1365" s="70"/>
      <c r="G1365" s="67"/>
      <c r="H1365" s="71"/>
      <c r="I1365" s="72"/>
      <c r="J1365" s="72"/>
      <c r="K1365" s="36"/>
      <c r="L1365" s="79">
        <v>1365</v>
      </c>
      <c r="M1365" s="79"/>
      <c r="N1365" s="74"/>
      <c r="O1365" s="81" t="s">
        <v>1235</v>
      </c>
    </row>
    <row r="1366" spans="1:15" ht="15">
      <c r="A1366" s="66" t="s">
        <v>222</v>
      </c>
      <c r="B1366" s="66" t="s">
        <v>1061</v>
      </c>
      <c r="C1366" s="67"/>
      <c r="D1366" s="68"/>
      <c r="E1366" s="69"/>
      <c r="F1366" s="70"/>
      <c r="G1366" s="67"/>
      <c r="H1366" s="71"/>
      <c r="I1366" s="72"/>
      <c r="J1366" s="72"/>
      <c r="K1366" s="36"/>
      <c r="L1366" s="79">
        <v>1366</v>
      </c>
      <c r="M1366" s="79"/>
      <c r="N1366" s="74"/>
      <c r="O1366" s="81" t="s">
        <v>1235</v>
      </c>
    </row>
    <row r="1367" spans="1:15" ht="15">
      <c r="A1367" s="66" t="s">
        <v>222</v>
      </c>
      <c r="B1367" s="66" t="s">
        <v>1062</v>
      </c>
      <c r="C1367" s="67"/>
      <c r="D1367" s="68"/>
      <c r="E1367" s="69"/>
      <c r="F1367" s="70"/>
      <c r="G1367" s="67"/>
      <c r="H1367" s="71"/>
      <c r="I1367" s="72"/>
      <c r="J1367" s="72"/>
      <c r="K1367" s="36"/>
      <c r="L1367" s="79">
        <v>1367</v>
      </c>
      <c r="M1367" s="79"/>
      <c r="N1367" s="74"/>
      <c r="O1367" s="81" t="s">
        <v>1235</v>
      </c>
    </row>
    <row r="1368" spans="1:15" ht="15">
      <c r="A1368" s="66" t="s">
        <v>212</v>
      </c>
      <c r="B1368" s="66" t="s">
        <v>391</v>
      </c>
      <c r="C1368" s="67"/>
      <c r="D1368" s="68"/>
      <c r="E1368" s="69"/>
      <c r="F1368" s="70"/>
      <c r="G1368" s="67"/>
      <c r="H1368" s="71"/>
      <c r="I1368" s="72"/>
      <c r="J1368" s="72"/>
      <c r="K1368" s="36"/>
      <c r="L1368" s="79">
        <v>1368</v>
      </c>
      <c r="M1368" s="79"/>
      <c r="N1368" s="74"/>
      <c r="O1368" s="81" t="s">
        <v>1235</v>
      </c>
    </row>
    <row r="1369" spans="1:15" ht="15">
      <c r="A1369" s="66" t="s">
        <v>212</v>
      </c>
      <c r="B1369" s="66" t="s">
        <v>345</v>
      </c>
      <c r="C1369" s="67"/>
      <c r="D1369" s="68"/>
      <c r="E1369" s="69"/>
      <c r="F1369" s="70"/>
      <c r="G1369" s="67"/>
      <c r="H1369" s="71"/>
      <c r="I1369" s="72"/>
      <c r="J1369" s="72"/>
      <c r="K1369" s="36"/>
      <c r="L1369" s="79">
        <v>1369</v>
      </c>
      <c r="M1369" s="79"/>
      <c r="N1369" s="74"/>
      <c r="O1369" s="81" t="s">
        <v>1235</v>
      </c>
    </row>
    <row r="1370" spans="1:15" ht="15">
      <c r="A1370" s="66" t="s">
        <v>212</v>
      </c>
      <c r="B1370" s="66" t="s">
        <v>215</v>
      </c>
      <c r="C1370" s="67"/>
      <c r="D1370" s="68"/>
      <c r="E1370" s="69"/>
      <c r="F1370" s="70"/>
      <c r="G1370" s="67"/>
      <c r="H1370" s="71"/>
      <c r="I1370" s="72"/>
      <c r="J1370" s="72"/>
      <c r="K1370" s="36"/>
      <c r="L1370" s="79">
        <v>1370</v>
      </c>
      <c r="M1370" s="79"/>
      <c r="N1370" s="74"/>
      <c r="O1370" s="81" t="s">
        <v>1235</v>
      </c>
    </row>
    <row r="1371" spans="1:15" ht="15">
      <c r="A1371" s="66" t="s">
        <v>212</v>
      </c>
      <c r="B1371" s="66" t="s">
        <v>220</v>
      </c>
      <c r="C1371" s="67"/>
      <c r="D1371" s="68"/>
      <c r="E1371" s="69"/>
      <c r="F1371" s="70"/>
      <c r="G1371" s="67"/>
      <c r="H1371" s="71"/>
      <c r="I1371" s="72"/>
      <c r="J1371" s="72"/>
      <c r="K1371" s="36"/>
      <c r="L1371" s="79">
        <v>1371</v>
      </c>
      <c r="M1371" s="79"/>
      <c r="N1371" s="74"/>
      <c r="O1371" s="81" t="s">
        <v>1235</v>
      </c>
    </row>
    <row r="1372" spans="1:15" ht="15">
      <c r="A1372" s="66" t="s">
        <v>212</v>
      </c>
      <c r="B1372" s="66" t="s">
        <v>218</v>
      </c>
      <c r="C1372" s="67"/>
      <c r="D1372" s="68"/>
      <c r="E1372" s="69"/>
      <c r="F1372" s="70"/>
      <c r="G1372" s="67"/>
      <c r="H1372" s="71"/>
      <c r="I1372" s="72"/>
      <c r="J1372" s="72"/>
      <c r="K1372" s="36"/>
      <c r="L1372" s="79">
        <v>1372</v>
      </c>
      <c r="M1372" s="79"/>
      <c r="N1372" s="74"/>
      <c r="O1372" s="81" t="s">
        <v>1235</v>
      </c>
    </row>
    <row r="1373" spans="1:15" ht="15">
      <c r="A1373" s="66" t="s">
        <v>212</v>
      </c>
      <c r="B1373" s="66" t="s">
        <v>225</v>
      </c>
      <c r="C1373" s="67"/>
      <c r="D1373" s="68"/>
      <c r="E1373" s="69"/>
      <c r="F1373" s="70"/>
      <c r="G1373" s="67"/>
      <c r="H1373" s="71"/>
      <c r="I1373" s="72"/>
      <c r="J1373" s="72"/>
      <c r="K1373" s="36"/>
      <c r="L1373" s="79">
        <v>1373</v>
      </c>
      <c r="M1373" s="79"/>
      <c r="N1373" s="74"/>
      <c r="O1373" s="81" t="s">
        <v>1235</v>
      </c>
    </row>
    <row r="1374" spans="1:15" ht="15">
      <c r="A1374" s="66" t="s">
        <v>212</v>
      </c>
      <c r="B1374" s="66" t="s">
        <v>224</v>
      </c>
      <c r="C1374" s="67"/>
      <c r="D1374" s="68"/>
      <c r="E1374" s="69"/>
      <c r="F1374" s="70"/>
      <c r="G1374" s="67"/>
      <c r="H1374" s="71"/>
      <c r="I1374" s="72"/>
      <c r="J1374" s="72"/>
      <c r="K1374" s="36"/>
      <c r="L1374" s="79">
        <v>1374</v>
      </c>
      <c r="M1374" s="79"/>
      <c r="N1374" s="74"/>
      <c r="O1374" s="81" t="s">
        <v>1235</v>
      </c>
    </row>
    <row r="1375" spans="1:15" ht="15">
      <c r="A1375" s="66" t="s">
        <v>212</v>
      </c>
      <c r="B1375" s="66" t="s">
        <v>179</v>
      </c>
      <c r="C1375" s="67"/>
      <c r="D1375" s="68"/>
      <c r="E1375" s="69"/>
      <c r="F1375" s="70"/>
      <c r="G1375" s="67"/>
      <c r="H1375" s="71"/>
      <c r="I1375" s="72"/>
      <c r="J1375" s="72"/>
      <c r="K1375" s="36"/>
      <c r="L1375" s="79">
        <v>1375</v>
      </c>
      <c r="M1375" s="79"/>
      <c r="N1375" s="74"/>
      <c r="O1375" s="81" t="s">
        <v>1235</v>
      </c>
    </row>
    <row r="1376" spans="1:15" ht="15">
      <c r="A1376" s="66" t="s">
        <v>222</v>
      </c>
      <c r="B1376" s="66" t="s">
        <v>212</v>
      </c>
      <c r="C1376" s="67"/>
      <c r="D1376" s="68"/>
      <c r="E1376" s="69"/>
      <c r="F1376" s="70"/>
      <c r="G1376" s="67"/>
      <c r="H1376" s="71"/>
      <c r="I1376" s="72"/>
      <c r="J1376" s="72"/>
      <c r="K1376" s="36"/>
      <c r="L1376" s="79">
        <v>1376</v>
      </c>
      <c r="M1376" s="79"/>
      <c r="N1376" s="74"/>
      <c r="O1376" s="81" t="s">
        <v>1235</v>
      </c>
    </row>
    <row r="1377" spans="1:15" ht="15">
      <c r="A1377" s="66" t="s">
        <v>222</v>
      </c>
      <c r="B1377" s="66" t="s">
        <v>1063</v>
      </c>
      <c r="C1377" s="67"/>
      <c r="D1377" s="68"/>
      <c r="E1377" s="69"/>
      <c r="F1377" s="70"/>
      <c r="G1377" s="67"/>
      <c r="H1377" s="71"/>
      <c r="I1377" s="72"/>
      <c r="J1377" s="72"/>
      <c r="K1377" s="36"/>
      <c r="L1377" s="79">
        <v>1377</v>
      </c>
      <c r="M1377" s="79"/>
      <c r="N1377" s="74"/>
      <c r="O1377" s="81" t="s">
        <v>1235</v>
      </c>
    </row>
    <row r="1378" spans="1:15" ht="15">
      <c r="A1378" s="66" t="s">
        <v>222</v>
      </c>
      <c r="B1378" s="66" t="s">
        <v>1064</v>
      </c>
      <c r="C1378" s="67"/>
      <c r="D1378" s="68"/>
      <c r="E1378" s="69"/>
      <c r="F1378" s="70"/>
      <c r="G1378" s="67"/>
      <c r="H1378" s="71"/>
      <c r="I1378" s="72"/>
      <c r="J1378" s="72"/>
      <c r="K1378" s="36"/>
      <c r="L1378" s="79">
        <v>1378</v>
      </c>
      <c r="M1378" s="79"/>
      <c r="N1378" s="74"/>
      <c r="O1378" s="81" t="s">
        <v>1235</v>
      </c>
    </row>
    <row r="1379" spans="1:15" ht="15">
      <c r="A1379" s="66" t="s">
        <v>222</v>
      </c>
      <c r="B1379" s="66" t="s">
        <v>1065</v>
      </c>
      <c r="C1379" s="67"/>
      <c r="D1379" s="68"/>
      <c r="E1379" s="69"/>
      <c r="F1379" s="70"/>
      <c r="G1379" s="67"/>
      <c r="H1379" s="71"/>
      <c r="I1379" s="72"/>
      <c r="J1379" s="72"/>
      <c r="K1379" s="36"/>
      <c r="L1379" s="79">
        <v>1379</v>
      </c>
      <c r="M1379" s="79"/>
      <c r="N1379" s="74"/>
      <c r="O1379" s="81" t="s">
        <v>1235</v>
      </c>
    </row>
    <row r="1380" spans="1:15" ht="15">
      <c r="A1380" s="66" t="s">
        <v>188</v>
      </c>
      <c r="B1380" s="66" t="s">
        <v>294</v>
      </c>
      <c r="C1380" s="67"/>
      <c r="D1380" s="68"/>
      <c r="E1380" s="69"/>
      <c r="F1380" s="70"/>
      <c r="G1380" s="67"/>
      <c r="H1380" s="71"/>
      <c r="I1380" s="72"/>
      <c r="J1380" s="72"/>
      <c r="K1380" s="36"/>
      <c r="L1380" s="79">
        <v>1380</v>
      </c>
      <c r="M1380" s="79"/>
      <c r="N1380" s="74"/>
      <c r="O1380" s="81" t="s">
        <v>1235</v>
      </c>
    </row>
    <row r="1381" spans="1:15" ht="15">
      <c r="A1381" s="66" t="s">
        <v>222</v>
      </c>
      <c r="B1381" s="66" t="s">
        <v>294</v>
      </c>
      <c r="C1381" s="67"/>
      <c r="D1381" s="68"/>
      <c r="E1381" s="69"/>
      <c r="F1381" s="70"/>
      <c r="G1381" s="67"/>
      <c r="H1381" s="71"/>
      <c r="I1381" s="72"/>
      <c r="J1381" s="72"/>
      <c r="K1381" s="36"/>
      <c r="L1381" s="79">
        <v>1381</v>
      </c>
      <c r="M1381" s="79"/>
      <c r="N1381" s="74"/>
      <c r="O1381" s="81" t="s">
        <v>1235</v>
      </c>
    </row>
    <row r="1382" spans="1:15" ht="15">
      <c r="A1382" s="66" t="s">
        <v>222</v>
      </c>
      <c r="B1382" s="66" t="s">
        <v>1066</v>
      </c>
      <c r="C1382" s="67"/>
      <c r="D1382" s="68"/>
      <c r="E1382" s="69"/>
      <c r="F1382" s="70"/>
      <c r="G1382" s="67"/>
      <c r="H1382" s="71"/>
      <c r="I1382" s="72"/>
      <c r="J1382" s="72"/>
      <c r="K1382" s="36"/>
      <c r="L1382" s="79">
        <v>1382</v>
      </c>
      <c r="M1382" s="79"/>
      <c r="N1382" s="74"/>
      <c r="O1382" s="81" t="s">
        <v>1235</v>
      </c>
    </row>
    <row r="1383" spans="1:15" ht="15">
      <c r="A1383" s="66" t="s">
        <v>222</v>
      </c>
      <c r="B1383" s="66" t="s">
        <v>1067</v>
      </c>
      <c r="C1383" s="67"/>
      <c r="D1383" s="68"/>
      <c r="E1383" s="69"/>
      <c r="F1383" s="70"/>
      <c r="G1383" s="67"/>
      <c r="H1383" s="71"/>
      <c r="I1383" s="72"/>
      <c r="J1383" s="72"/>
      <c r="K1383" s="36"/>
      <c r="L1383" s="79">
        <v>1383</v>
      </c>
      <c r="M1383" s="79"/>
      <c r="N1383" s="74"/>
      <c r="O1383" s="81" t="s">
        <v>1235</v>
      </c>
    </row>
    <row r="1384" spans="1:15" ht="15">
      <c r="A1384" s="66" t="s">
        <v>222</v>
      </c>
      <c r="B1384" s="66" t="s">
        <v>972</v>
      </c>
      <c r="C1384" s="67"/>
      <c r="D1384" s="68"/>
      <c r="E1384" s="69"/>
      <c r="F1384" s="70"/>
      <c r="G1384" s="67"/>
      <c r="H1384" s="71"/>
      <c r="I1384" s="72"/>
      <c r="J1384" s="72"/>
      <c r="K1384" s="36"/>
      <c r="L1384" s="79">
        <v>1384</v>
      </c>
      <c r="M1384" s="79"/>
      <c r="N1384" s="74"/>
      <c r="O1384" s="81" t="s">
        <v>1235</v>
      </c>
    </row>
    <row r="1385" spans="1:15" ht="15">
      <c r="A1385" s="66" t="s">
        <v>207</v>
      </c>
      <c r="B1385" s="66" t="s">
        <v>287</v>
      </c>
      <c r="C1385" s="67"/>
      <c r="D1385" s="68"/>
      <c r="E1385" s="69"/>
      <c r="F1385" s="70"/>
      <c r="G1385" s="67"/>
      <c r="H1385" s="71"/>
      <c r="I1385" s="72"/>
      <c r="J1385" s="72"/>
      <c r="K1385" s="36"/>
      <c r="L1385" s="79">
        <v>1385</v>
      </c>
      <c r="M1385" s="79"/>
      <c r="N1385" s="74"/>
      <c r="O1385" s="81" t="s">
        <v>1235</v>
      </c>
    </row>
    <row r="1386" spans="1:15" ht="15">
      <c r="A1386" s="66" t="s">
        <v>222</v>
      </c>
      <c r="B1386" s="66" t="s">
        <v>287</v>
      </c>
      <c r="C1386" s="67"/>
      <c r="D1386" s="68"/>
      <c r="E1386" s="69"/>
      <c r="F1386" s="70"/>
      <c r="G1386" s="67"/>
      <c r="H1386" s="71"/>
      <c r="I1386" s="72"/>
      <c r="J1386" s="72"/>
      <c r="K1386" s="36"/>
      <c r="L1386" s="79">
        <v>1386</v>
      </c>
      <c r="M1386" s="79"/>
      <c r="N1386" s="74"/>
      <c r="O1386" s="81" t="s">
        <v>1235</v>
      </c>
    </row>
    <row r="1387" spans="1:15" ht="15">
      <c r="A1387" s="66" t="s">
        <v>214</v>
      </c>
      <c r="B1387" s="66" t="s">
        <v>566</v>
      </c>
      <c r="C1387" s="67"/>
      <c r="D1387" s="68"/>
      <c r="E1387" s="69"/>
      <c r="F1387" s="70"/>
      <c r="G1387" s="67"/>
      <c r="H1387" s="71"/>
      <c r="I1387" s="72"/>
      <c r="J1387" s="72"/>
      <c r="K1387" s="36"/>
      <c r="L1387" s="79">
        <v>1387</v>
      </c>
      <c r="M1387" s="79"/>
      <c r="N1387" s="74"/>
      <c r="O1387" s="81" t="s">
        <v>1235</v>
      </c>
    </row>
    <row r="1388" spans="1:15" ht="15">
      <c r="A1388" s="66" t="s">
        <v>222</v>
      </c>
      <c r="B1388" s="66" t="s">
        <v>566</v>
      </c>
      <c r="C1388" s="67"/>
      <c r="D1388" s="68"/>
      <c r="E1388" s="69"/>
      <c r="F1388" s="70"/>
      <c r="G1388" s="67"/>
      <c r="H1388" s="71"/>
      <c r="I1388" s="72"/>
      <c r="J1388" s="72"/>
      <c r="K1388" s="36"/>
      <c r="L1388" s="79">
        <v>1388</v>
      </c>
      <c r="M1388" s="79"/>
      <c r="N1388" s="74"/>
      <c r="O1388" s="81" t="s">
        <v>1235</v>
      </c>
    </row>
    <row r="1389" spans="1:15" ht="15">
      <c r="A1389" s="66" t="s">
        <v>222</v>
      </c>
      <c r="B1389" s="66" t="s">
        <v>1068</v>
      </c>
      <c r="C1389" s="67"/>
      <c r="D1389" s="68"/>
      <c r="E1389" s="69"/>
      <c r="F1389" s="70"/>
      <c r="G1389" s="67"/>
      <c r="H1389" s="71"/>
      <c r="I1389" s="72"/>
      <c r="J1389" s="72"/>
      <c r="K1389" s="36"/>
      <c r="L1389" s="79">
        <v>1389</v>
      </c>
      <c r="M1389" s="79"/>
      <c r="N1389" s="74"/>
      <c r="O1389" s="81" t="s">
        <v>1235</v>
      </c>
    </row>
    <row r="1390" spans="1:15" ht="15">
      <c r="A1390" s="66" t="s">
        <v>222</v>
      </c>
      <c r="B1390" s="66" t="s">
        <v>1069</v>
      </c>
      <c r="C1390" s="67"/>
      <c r="D1390" s="68"/>
      <c r="E1390" s="69"/>
      <c r="F1390" s="70"/>
      <c r="G1390" s="67"/>
      <c r="H1390" s="71"/>
      <c r="I1390" s="72"/>
      <c r="J1390" s="72"/>
      <c r="K1390" s="36"/>
      <c r="L1390" s="79">
        <v>1390</v>
      </c>
      <c r="M1390" s="79"/>
      <c r="N1390" s="74"/>
      <c r="O1390" s="81" t="s">
        <v>1235</v>
      </c>
    </row>
    <row r="1391" spans="1:15" ht="15">
      <c r="A1391" s="66" t="s">
        <v>179</v>
      </c>
      <c r="B1391" s="66" t="s">
        <v>651</v>
      </c>
      <c r="C1391" s="67"/>
      <c r="D1391" s="68"/>
      <c r="E1391" s="69"/>
      <c r="F1391" s="70"/>
      <c r="G1391" s="67"/>
      <c r="H1391" s="71"/>
      <c r="I1391" s="72"/>
      <c r="J1391" s="72"/>
      <c r="K1391" s="36"/>
      <c r="L1391" s="79">
        <v>1391</v>
      </c>
      <c r="M1391" s="79"/>
      <c r="N1391" s="74"/>
      <c r="O1391" s="81" t="s">
        <v>1235</v>
      </c>
    </row>
    <row r="1392" spans="1:15" ht="15">
      <c r="A1392" s="66" t="s">
        <v>218</v>
      </c>
      <c r="B1392" s="66" t="s">
        <v>651</v>
      </c>
      <c r="C1392" s="67"/>
      <c r="D1392" s="68"/>
      <c r="E1392" s="69"/>
      <c r="F1392" s="70"/>
      <c r="G1392" s="67"/>
      <c r="H1392" s="71"/>
      <c r="I1392" s="72"/>
      <c r="J1392" s="72"/>
      <c r="K1392" s="36"/>
      <c r="L1392" s="79">
        <v>1392</v>
      </c>
      <c r="M1392" s="79"/>
      <c r="N1392" s="74"/>
      <c r="O1392" s="81" t="s">
        <v>1235</v>
      </c>
    </row>
    <row r="1393" spans="1:15" ht="15">
      <c r="A1393" s="66" t="s">
        <v>222</v>
      </c>
      <c r="B1393" s="66" t="s">
        <v>651</v>
      </c>
      <c r="C1393" s="67"/>
      <c r="D1393" s="68"/>
      <c r="E1393" s="69"/>
      <c r="F1393" s="70"/>
      <c r="G1393" s="67"/>
      <c r="H1393" s="71"/>
      <c r="I1393" s="72"/>
      <c r="J1393" s="72"/>
      <c r="K1393" s="36"/>
      <c r="L1393" s="79">
        <v>1393</v>
      </c>
      <c r="M1393" s="79"/>
      <c r="N1393" s="74"/>
      <c r="O1393" s="81" t="s">
        <v>1235</v>
      </c>
    </row>
    <row r="1394" spans="1:15" ht="15">
      <c r="A1394" s="66" t="s">
        <v>222</v>
      </c>
      <c r="B1394" s="66" t="s">
        <v>1070</v>
      </c>
      <c r="C1394" s="67"/>
      <c r="D1394" s="68"/>
      <c r="E1394" s="69"/>
      <c r="F1394" s="70"/>
      <c r="G1394" s="67"/>
      <c r="H1394" s="71"/>
      <c r="I1394" s="72"/>
      <c r="J1394" s="72"/>
      <c r="K1394" s="36"/>
      <c r="L1394" s="79">
        <v>1394</v>
      </c>
      <c r="M1394" s="79"/>
      <c r="N1394" s="74"/>
      <c r="O1394" s="81" t="s">
        <v>1235</v>
      </c>
    </row>
    <row r="1395" spans="1:15" ht="15">
      <c r="A1395" s="66" t="s">
        <v>222</v>
      </c>
      <c r="B1395" s="66" t="s">
        <v>1071</v>
      </c>
      <c r="C1395" s="67"/>
      <c r="D1395" s="68"/>
      <c r="E1395" s="69"/>
      <c r="F1395" s="70"/>
      <c r="G1395" s="67"/>
      <c r="H1395" s="71"/>
      <c r="I1395" s="72"/>
      <c r="J1395" s="72"/>
      <c r="K1395" s="36"/>
      <c r="L1395" s="79">
        <v>1395</v>
      </c>
      <c r="M1395" s="79"/>
      <c r="N1395" s="74"/>
      <c r="O1395" s="81" t="s">
        <v>1235</v>
      </c>
    </row>
    <row r="1396" spans="1:15" ht="15">
      <c r="A1396" s="66" t="s">
        <v>222</v>
      </c>
      <c r="B1396" s="66" t="s">
        <v>1072</v>
      </c>
      <c r="C1396" s="67"/>
      <c r="D1396" s="68"/>
      <c r="E1396" s="69"/>
      <c r="F1396" s="70"/>
      <c r="G1396" s="67"/>
      <c r="H1396" s="71"/>
      <c r="I1396" s="72"/>
      <c r="J1396" s="72"/>
      <c r="K1396" s="36"/>
      <c r="L1396" s="79">
        <v>1396</v>
      </c>
      <c r="M1396" s="79"/>
      <c r="N1396" s="74"/>
      <c r="O1396" s="81" t="s">
        <v>1235</v>
      </c>
    </row>
    <row r="1397" spans="1:15" ht="15">
      <c r="A1397" s="66" t="s">
        <v>215</v>
      </c>
      <c r="B1397" s="66" t="s">
        <v>731</v>
      </c>
      <c r="C1397" s="67"/>
      <c r="D1397" s="68"/>
      <c r="E1397" s="69"/>
      <c r="F1397" s="70"/>
      <c r="G1397" s="67"/>
      <c r="H1397" s="71"/>
      <c r="I1397" s="72"/>
      <c r="J1397" s="72"/>
      <c r="K1397" s="36"/>
      <c r="L1397" s="79">
        <v>1397</v>
      </c>
      <c r="M1397" s="79"/>
      <c r="N1397" s="74"/>
      <c r="O1397" s="81" t="s">
        <v>1235</v>
      </c>
    </row>
    <row r="1398" spans="1:15" ht="15">
      <c r="A1398" s="66" t="s">
        <v>222</v>
      </c>
      <c r="B1398" s="66" t="s">
        <v>731</v>
      </c>
      <c r="C1398" s="67"/>
      <c r="D1398" s="68"/>
      <c r="E1398" s="69"/>
      <c r="F1398" s="70"/>
      <c r="G1398" s="67"/>
      <c r="H1398" s="71"/>
      <c r="I1398" s="72"/>
      <c r="J1398" s="72"/>
      <c r="K1398" s="36"/>
      <c r="L1398" s="79">
        <v>1398</v>
      </c>
      <c r="M1398" s="79"/>
      <c r="N1398" s="74"/>
      <c r="O1398" s="81" t="s">
        <v>1235</v>
      </c>
    </row>
    <row r="1399" spans="1:15" ht="15">
      <c r="A1399" s="66" t="s">
        <v>222</v>
      </c>
      <c r="B1399" s="66" t="s">
        <v>1073</v>
      </c>
      <c r="C1399" s="67"/>
      <c r="D1399" s="68"/>
      <c r="E1399" s="69"/>
      <c r="F1399" s="70"/>
      <c r="G1399" s="67"/>
      <c r="H1399" s="71"/>
      <c r="I1399" s="72"/>
      <c r="J1399" s="72"/>
      <c r="K1399" s="36"/>
      <c r="L1399" s="79">
        <v>1399</v>
      </c>
      <c r="M1399" s="79"/>
      <c r="N1399" s="74"/>
      <c r="O1399" s="81" t="s">
        <v>1235</v>
      </c>
    </row>
    <row r="1400" spans="1:15" ht="15">
      <c r="A1400" s="66" t="s">
        <v>222</v>
      </c>
      <c r="B1400" s="66" t="s">
        <v>486</v>
      </c>
      <c r="C1400" s="67"/>
      <c r="D1400" s="68"/>
      <c r="E1400" s="69"/>
      <c r="F1400" s="70"/>
      <c r="G1400" s="67"/>
      <c r="H1400" s="71"/>
      <c r="I1400" s="72"/>
      <c r="J1400" s="72"/>
      <c r="K1400" s="36"/>
      <c r="L1400" s="79">
        <v>1400</v>
      </c>
      <c r="M1400" s="79"/>
      <c r="N1400" s="74"/>
      <c r="O1400" s="81" t="s">
        <v>1235</v>
      </c>
    </row>
    <row r="1401" spans="1:15" ht="15">
      <c r="A1401" s="66" t="s">
        <v>222</v>
      </c>
      <c r="B1401" s="66" t="s">
        <v>1074</v>
      </c>
      <c r="C1401" s="67"/>
      <c r="D1401" s="68"/>
      <c r="E1401" s="69"/>
      <c r="F1401" s="70"/>
      <c r="G1401" s="67"/>
      <c r="H1401" s="71"/>
      <c r="I1401" s="72"/>
      <c r="J1401" s="72"/>
      <c r="K1401" s="36"/>
      <c r="L1401" s="79">
        <v>1401</v>
      </c>
      <c r="M1401" s="79"/>
      <c r="N1401" s="74"/>
      <c r="O1401" s="81" t="s">
        <v>1235</v>
      </c>
    </row>
    <row r="1402" spans="1:15" ht="15">
      <c r="A1402" s="66" t="s">
        <v>222</v>
      </c>
      <c r="B1402" s="66" t="s">
        <v>1075</v>
      </c>
      <c r="C1402" s="67"/>
      <c r="D1402" s="68"/>
      <c r="E1402" s="69"/>
      <c r="F1402" s="70"/>
      <c r="G1402" s="67"/>
      <c r="H1402" s="71"/>
      <c r="I1402" s="72"/>
      <c r="J1402" s="72"/>
      <c r="K1402" s="36"/>
      <c r="L1402" s="79">
        <v>1402</v>
      </c>
      <c r="M1402" s="79"/>
      <c r="N1402" s="74"/>
      <c r="O1402" s="81" t="s">
        <v>1235</v>
      </c>
    </row>
    <row r="1403" spans="1:15" ht="15">
      <c r="A1403" s="66" t="s">
        <v>223</v>
      </c>
      <c r="B1403" s="66" t="s">
        <v>1076</v>
      </c>
      <c r="C1403" s="67"/>
      <c r="D1403" s="68"/>
      <c r="E1403" s="69"/>
      <c r="F1403" s="70"/>
      <c r="G1403" s="67"/>
      <c r="H1403" s="71"/>
      <c r="I1403" s="72"/>
      <c r="J1403" s="72"/>
      <c r="K1403" s="36"/>
      <c r="L1403" s="79">
        <v>1403</v>
      </c>
      <c r="M1403" s="79"/>
      <c r="N1403" s="74"/>
      <c r="O1403" s="81" t="s">
        <v>1235</v>
      </c>
    </row>
    <row r="1404" spans="1:15" ht="15">
      <c r="A1404" s="66" t="s">
        <v>223</v>
      </c>
      <c r="B1404" s="66" t="s">
        <v>1077</v>
      </c>
      <c r="C1404" s="67"/>
      <c r="D1404" s="68"/>
      <c r="E1404" s="69"/>
      <c r="F1404" s="70"/>
      <c r="G1404" s="67"/>
      <c r="H1404" s="71"/>
      <c r="I1404" s="72"/>
      <c r="J1404" s="72"/>
      <c r="K1404" s="36"/>
      <c r="L1404" s="79">
        <v>1404</v>
      </c>
      <c r="M1404" s="79"/>
      <c r="N1404" s="74"/>
      <c r="O1404" s="81" t="s">
        <v>1235</v>
      </c>
    </row>
    <row r="1405" spans="1:15" ht="15">
      <c r="A1405" s="66" t="s">
        <v>223</v>
      </c>
      <c r="B1405" s="66" t="s">
        <v>1078</v>
      </c>
      <c r="C1405" s="67"/>
      <c r="D1405" s="68"/>
      <c r="E1405" s="69"/>
      <c r="F1405" s="70"/>
      <c r="G1405" s="67"/>
      <c r="H1405" s="71"/>
      <c r="I1405" s="72"/>
      <c r="J1405" s="72"/>
      <c r="K1405" s="36"/>
      <c r="L1405" s="79">
        <v>1405</v>
      </c>
      <c r="M1405" s="79"/>
      <c r="N1405" s="74"/>
      <c r="O1405" s="81" t="s">
        <v>1235</v>
      </c>
    </row>
    <row r="1406" spans="1:15" ht="15">
      <c r="A1406" s="66" t="s">
        <v>223</v>
      </c>
      <c r="B1406" s="66" t="s">
        <v>1079</v>
      </c>
      <c r="C1406" s="67"/>
      <c r="D1406" s="68"/>
      <c r="E1406" s="69"/>
      <c r="F1406" s="70"/>
      <c r="G1406" s="67"/>
      <c r="H1406" s="71"/>
      <c r="I1406" s="72"/>
      <c r="J1406" s="72"/>
      <c r="K1406" s="36"/>
      <c r="L1406" s="79">
        <v>1406</v>
      </c>
      <c r="M1406" s="79"/>
      <c r="N1406" s="74"/>
      <c r="O1406" s="81" t="s">
        <v>1235</v>
      </c>
    </row>
    <row r="1407" spans="1:15" ht="15">
      <c r="A1407" s="66" t="s">
        <v>223</v>
      </c>
      <c r="B1407" s="66" t="s">
        <v>1080</v>
      </c>
      <c r="C1407" s="67"/>
      <c r="D1407" s="68"/>
      <c r="E1407" s="69"/>
      <c r="F1407" s="70"/>
      <c r="G1407" s="67"/>
      <c r="H1407" s="71"/>
      <c r="I1407" s="72"/>
      <c r="J1407" s="72"/>
      <c r="K1407" s="36"/>
      <c r="L1407" s="79">
        <v>1407</v>
      </c>
      <c r="M1407" s="79"/>
      <c r="N1407" s="74"/>
      <c r="O1407" s="81" t="s">
        <v>1235</v>
      </c>
    </row>
    <row r="1408" spans="1:15" ht="15">
      <c r="A1408" s="66" t="s">
        <v>223</v>
      </c>
      <c r="B1408" s="66" t="s">
        <v>1081</v>
      </c>
      <c r="C1408" s="67"/>
      <c r="D1408" s="68"/>
      <c r="E1408" s="69"/>
      <c r="F1408" s="70"/>
      <c r="G1408" s="67"/>
      <c r="H1408" s="71"/>
      <c r="I1408" s="72"/>
      <c r="J1408" s="72"/>
      <c r="K1408" s="36"/>
      <c r="L1408" s="79">
        <v>1408</v>
      </c>
      <c r="M1408" s="79"/>
      <c r="N1408" s="74"/>
      <c r="O1408" s="81" t="s">
        <v>1235</v>
      </c>
    </row>
    <row r="1409" spans="1:15" ht="15">
      <c r="A1409" s="66" t="s">
        <v>223</v>
      </c>
      <c r="B1409" s="66" t="s">
        <v>1082</v>
      </c>
      <c r="C1409" s="67"/>
      <c r="D1409" s="68"/>
      <c r="E1409" s="69"/>
      <c r="F1409" s="70"/>
      <c r="G1409" s="67"/>
      <c r="H1409" s="71"/>
      <c r="I1409" s="72"/>
      <c r="J1409" s="72"/>
      <c r="K1409" s="36"/>
      <c r="L1409" s="79">
        <v>1409</v>
      </c>
      <c r="M1409" s="79"/>
      <c r="N1409" s="74"/>
      <c r="O1409" s="81" t="s">
        <v>1235</v>
      </c>
    </row>
    <row r="1410" spans="1:15" ht="15">
      <c r="A1410" s="66" t="s">
        <v>223</v>
      </c>
      <c r="B1410" s="66" t="s">
        <v>1083</v>
      </c>
      <c r="C1410" s="67"/>
      <c r="D1410" s="68"/>
      <c r="E1410" s="69"/>
      <c r="F1410" s="70"/>
      <c r="G1410" s="67"/>
      <c r="H1410" s="71"/>
      <c r="I1410" s="72"/>
      <c r="J1410" s="72"/>
      <c r="K1410" s="36"/>
      <c r="L1410" s="79">
        <v>1410</v>
      </c>
      <c r="M1410" s="79"/>
      <c r="N1410" s="74"/>
      <c r="O1410" s="81" t="s">
        <v>1235</v>
      </c>
    </row>
    <row r="1411" spans="1:15" ht="15">
      <c r="A1411" s="66" t="s">
        <v>223</v>
      </c>
      <c r="B1411" s="66" t="s">
        <v>1084</v>
      </c>
      <c r="C1411" s="67"/>
      <c r="D1411" s="68"/>
      <c r="E1411" s="69"/>
      <c r="F1411" s="70"/>
      <c r="G1411" s="67"/>
      <c r="H1411" s="71"/>
      <c r="I1411" s="72"/>
      <c r="J1411" s="72"/>
      <c r="K1411" s="36"/>
      <c r="L1411" s="79">
        <v>1411</v>
      </c>
      <c r="M1411" s="79"/>
      <c r="N1411" s="74"/>
      <c r="O1411" s="81" t="s">
        <v>1235</v>
      </c>
    </row>
    <row r="1412" spans="1:15" ht="15">
      <c r="A1412" s="66" t="s">
        <v>215</v>
      </c>
      <c r="B1412" s="66" t="s">
        <v>970</v>
      </c>
      <c r="C1412" s="67"/>
      <c r="D1412" s="68"/>
      <c r="E1412" s="69"/>
      <c r="F1412" s="70"/>
      <c r="G1412" s="67"/>
      <c r="H1412" s="71"/>
      <c r="I1412" s="72"/>
      <c r="J1412" s="72"/>
      <c r="K1412" s="36"/>
      <c r="L1412" s="79">
        <v>1412</v>
      </c>
      <c r="M1412" s="79"/>
      <c r="N1412" s="74"/>
      <c r="O1412" s="81" t="s">
        <v>1235</v>
      </c>
    </row>
    <row r="1413" spans="1:15" ht="15">
      <c r="A1413" s="66" t="s">
        <v>218</v>
      </c>
      <c r="B1413" s="66" t="s">
        <v>970</v>
      </c>
      <c r="C1413" s="67"/>
      <c r="D1413" s="68"/>
      <c r="E1413" s="69"/>
      <c r="F1413" s="70"/>
      <c r="G1413" s="67"/>
      <c r="H1413" s="71"/>
      <c r="I1413" s="72"/>
      <c r="J1413" s="72"/>
      <c r="K1413" s="36"/>
      <c r="L1413" s="79">
        <v>1413</v>
      </c>
      <c r="M1413" s="79"/>
      <c r="N1413" s="74"/>
      <c r="O1413" s="81" t="s">
        <v>1235</v>
      </c>
    </row>
    <row r="1414" spans="1:15" ht="15">
      <c r="A1414" s="66" t="s">
        <v>221</v>
      </c>
      <c r="B1414" s="66" t="s">
        <v>970</v>
      </c>
      <c r="C1414" s="67"/>
      <c r="D1414" s="68"/>
      <c r="E1414" s="69"/>
      <c r="F1414" s="70"/>
      <c r="G1414" s="67"/>
      <c r="H1414" s="71"/>
      <c r="I1414" s="72"/>
      <c r="J1414" s="72"/>
      <c r="K1414" s="36"/>
      <c r="L1414" s="79">
        <v>1414</v>
      </c>
      <c r="M1414" s="79"/>
      <c r="N1414" s="74"/>
      <c r="O1414" s="81" t="s">
        <v>1235</v>
      </c>
    </row>
    <row r="1415" spans="1:15" ht="15">
      <c r="A1415" s="66" t="s">
        <v>223</v>
      </c>
      <c r="B1415" s="66" t="s">
        <v>970</v>
      </c>
      <c r="C1415" s="67"/>
      <c r="D1415" s="68"/>
      <c r="E1415" s="69"/>
      <c r="F1415" s="70"/>
      <c r="G1415" s="67"/>
      <c r="H1415" s="71"/>
      <c r="I1415" s="72"/>
      <c r="J1415" s="72"/>
      <c r="K1415" s="36"/>
      <c r="L1415" s="79">
        <v>1415</v>
      </c>
      <c r="M1415" s="79"/>
      <c r="N1415" s="74"/>
      <c r="O1415" s="81" t="s">
        <v>1235</v>
      </c>
    </row>
    <row r="1416" spans="1:15" ht="15">
      <c r="A1416" s="66" t="s">
        <v>223</v>
      </c>
      <c r="B1416" s="66" t="s">
        <v>1085</v>
      </c>
      <c r="C1416" s="67"/>
      <c r="D1416" s="68"/>
      <c r="E1416" s="69"/>
      <c r="F1416" s="70"/>
      <c r="G1416" s="67"/>
      <c r="H1416" s="71"/>
      <c r="I1416" s="72"/>
      <c r="J1416" s="72"/>
      <c r="K1416" s="36"/>
      <c r="L1416" s="79">
        <v>1416</v>
      </c>
      <c r="M1416" s="79"/>
      <c r="N1416" s="74"/>
      <c r="O1416" s="81" t="s">
        <v>1235</v>
      </c>
    </row>
    <row r="1417" spans="1:15" ht="15">
      <c r="A1417" s="66" t="s">
        <v>214</v>
      </c>
      <c r="B1417" s="66" t="s">
        <v>345</v>
      </c>
      <c r="C1417" s="67"/>
      <c r="D1417" s="68"/>
      <c r="E1417" s="69"/>
      <c r="F1417" s="70"/>
      <c r="G1417" s="67"/>
      <c r="H1417" s="71"/>
      <c r="I1417" s="72"/>
      <c r="J1417" s="72"/>
      <c r="K1417" s="36"/>
      <c r="L1417" s="79">
        <v>1417</v>
      </c>
      <c r="M1417" s="79"/>
      <c r="N1417" s="74"/>
      <c r="O1417" s="81" t="s">
        <v>1235</v>
      </c>
    </row>
    <row r="1418" spans="1:15" ht="15">
      <c r="A1418" s="66" t="s">
        <v>223</v>
      </c>
      <c r="B1418" s="66" t="s">
        <v>345</v>
      </c>
      <c r="C1418" s="67"/>
      <c r="D1418" s="68"/>
      <c r="E1418" s="69"/>
      <c r="F1418" s="70"/>
      <c r="G1418" s="67"/>
      <c r="H1418" s="71"/>
      <c r="I1418" s="72"/>
      <c r="J1418" s="72"/>
      <c r="K1418" s="36"/>
      <c r="L1418" s="79">
        <v>1418</v>
      </c>
      <c r="M1418" s="79"/>
      <c r="N1418" s="74"/>
      <c r="O1418" s="81" t="s">
        <v>1235</v>
      </c>
    </row>
    <row r="1419" spans="1:15" ht="15">
      <c r="A1419" s="66" t="s">
        <v>220</v>
      </c>
      <c r="B1419" s="66" t="s">
        <v>1086</v>
      </c>
      <c r="C1419" s="67"/>
      <c r="D1419" s="68"/>
      <c r="E1419" s="69"/>
      <c r="F1419" s="70"/>
      <c r="G1419" s="67"/>
      <c r="H1419" s="71"/>
      <c r="I1419" s="72"/>
      <c r="J1419" s="72"/>
      <c r="K1419" s="36"/>
      <c r="L1419" s="79">
        <v>1419</v>
      </c>
      <c r="M1419" s="79"/>
      <c r="N1419" s="74"/>
      <c r="O1419" s="81" t="s">
        <v>1235</v>
      </c>
    </row>
    <row r="1420" spans="1:15" ht="15">
      <c r="A1420" s="66" t="s">
        <v>223</v>
      </c>
      <c r="B1420" s="66" t="s">
        <v>1086</v>
      </c>
      <c r="C1420" s="67"/>
      <c r="D1420" s="68"/>
      <c r="E1420" s="69"/>
      <c r="F1420" s="70"/>
      <c r="G1420" s="67"/>
      <c r="H1420" s="71"/>
      <c r="I1420" s="72"/>
      <c r="J1420" s="72"/>
      <c r="K1420" s="36"/>
      <c r="L1420" s="79">
        <v>1420</v>
      </c>
      <c r="M1420" s="79"/>
      <c r="N1420" s="74"/>
      <c r="O1420" s="81" t="s">
        <v>1235</v>
      </c>
    </row>
    <row r="1421" spans="1:15" ht="15">
      <c r="A1421" s="66" t="s">
        <v>223</v>
      </c>
      <c r="B1421" s="66" t="s">
        <v>1087</v>
      </c>
      <c r="C1421" s="67"/>
      <c r="D1421" s="68"/>
      <c r="E1421" s="69"/>
      <c r="F1421" s="70"/>
      <c r="G1421" s="67"/>
      <c r="H1421" s="71"/>
      <c r="I1421" s="72"/>
      <c r="J1421" s="72"/>
      <c r="K1421" s="36"/>
      <c r="L1421" s="79">
        <v>1421</v>
      </c>
      <c r="M1421" s="79"/>
      <c r="N1421" s="74"/>
      <c r="O1421" s="81" t="s">
        <v>1235</v>
      </c>
    </row>
    <row r="1422" spans="1:15" ht="15">
      <c r="A1422" s="66" t="s">
        <v>223</v>
      </c>
      <c r="B1422" s="66" t="s">
        <v>1088</v>
      </c>
      <c r="C1422" s="67"/>
      <c r="D1422" s="68"/>
      <c r="E1422" s="69"/>
      <c r="F1422" s="70"/>
      <c r="G1422" s="67"/>
      <c r="H1422" s="71"/>
      <c r="I1422" s="72"/>
      <c r="J1422" s="72"/>
      <c r="K1422" s="36"/>
      <c r="L1422" s="79">
        <v>1422</v>
      </c>
      <c r="M1422" s="79"/>
      <c r="N1422" s="74"/>
      <c r="O1422" s="81" t="s">
        <v>1235</v>
      </c>
    </row>
    <row r="1423" spans="1:15" ht="15">
      <c r="A1423" s="66" t="s">
        <v>223</v>
      </c>
      <c r="B1423" s="66" t="s">
        <v>1089</v>
      </c>
      <c r="C1423" s="67"/>
      <c r="D1423" s="68"/>
      <c r="E1423" s="69"/>
      <c r="F1423" s="70"/>
      <c r="G1423" s="67"/>
      <c r="H1423" s="71"/>
      <c r="I1423" s="72"/>
      <c r="J1423" s="72"/>
      <c r="K1423" s="36"/>
      <c r="L1423" s="79">
        <v>1423</v>
      </c>
      <c r="M1423" s="79"/>
      <c r="N1423" s="74"/>
      <c r="O1423" s="81" t="s">
        <v>1235</v>
      </c>
    </row>
    <row r="1424" spans="1:15" ht="15">
      <c r="A1424" s="66" t="s">
        <v>223</v>
      </c>
      <c r="B1424" s="66" t="s">
        <v>1090</v>
      </c>
      <c r="C1424" s="67"/>
      <c r="D1424" s="68"/>
      <c r="E1424" s="69"/>
      <c r="F1424" s="70"/>
      <c r="G1424" s="67"/>
      <c r="H1424" s="71"/>
      <c r="I1424" s="72"/>
      <c r="J1424" s="72"/>
      <c r="K1424" s="36"/>
      <c r="L1424" s="79">
        <v>1424</v>
      </c>
      <c r="M1424" s="79"/>
      <c r="N1424" s="74"/>
      <c r="O1424" s="81" t="s">
        <v>1235</v>
      </c>
    </row>
    <row r="1425" spans="1:15" ht="15">
      <c r="A1425" s="66" t="s">
        <v>207</v>
      </c>
      <c r="B1425" s="66" t="s">
        <v>349</v>
      </c>
      <c r="C1425" s="67"/>
      <c r="D1425" s="68"/>
      <c r="E1425" s="69"/>
      <c r="F1425" s="70"/>
      <c r="G1425" s="67"/>
      <c r="H1425" s="71"/>
      <c r="I1425" s="72"/>
      <c r="J1425" s="72"/>
      <c r="K1425" s="36"/>
      <c r="L1425" s="79">
        <v>1425</v>
      </c>
      <c r="M1425" s="79"/>
      <c r="N1425" s="74"/>
      <c r="O1425" s="81" t="s">
        <v>1235</v>
      </c>
    </row>
    <row r="1426" spans="1:15" ht="15">
      <c r="A1426" s="66" t="s">
        <v>215</v>
      </c>
      <c r="B1426" s="66" t="s">
        <v>349</v>
      </c>
      <c r="C1426" s="67"/>
      <c r="D1426" s="68"/>
      <c r="E1426" s="69"/>
      <c r="F1426" s="70"/>
      <c r="G1426" s="67"/>
      <c r="H1426" s="71"/>
      <c r="I1426" s="72"/>
      <c r="J1426" s="72"/>
      <c r="K1426" s="36"/>
      <c r="L1426" s="79">
        <v>1426</v>
      </c>
      <c r="M1426" s="79"/>
      <c r="N1426" s="74"/>
      <c r="O1426" s="81" t="s">
        <v>1235</v>
      </c>
    </row>
    <row r="1427" spans="1:15" ht="15">
      <c r="A1427" s="66" t="s">
        <v>223</v>
      </c>
      <c r="B1427" s="66" t="s">
        <v>349</v>
      </c>
      <c r="C1427" s="67"/>
      <c r="D1427" s="68"/>
      <c r="E1427" s="69"/>
      <c r="F1427" s="70"/>
      <c r="G1427" s="67"/>
      <c r="H1427" s="71"/>
      <c r="I1427" s="72"/>
      <c r="J1427" s="72"/>
      <c r="K1427" s="36"/>
      <c r="L1427" s="79">
        <v>1427</v>
      </c>
      <c r="M1427" s="79"/>
      <c r="N1427" s="74"/>
      <c r="O1427" s="81" t="s">
        <v>1235</v>
      </c>
    </row>
    <row r="1428" spans="1:15" ht="15">
      <c r="A1428" s="66" t="s">
        <v>223</v>
      </c>
      <c r="B1428" s="66" t="s">
        <v>1091</v>
      </c>
      <c r="C1428" s="67"/>
      <c r="D1428" s="68"/>
      <c r="E1428" s="69"/>
      <c r="F1428" s="70"/>
      <c r="G1428" s="67"/>
      <c r="H1428" s="71"/>
      <c r="I1428" s="72"/>
      <c r="J1428" s="72"/>
      <c r="K1428" s="36"/>
      <c r="L1428" s="79">
        <v>1428</v>
      </c>
      <c r="M1428" s="79"/>
      <c r="N1428" s="74"/>
      <c r="O1428" s="81" t="s">
        <v>1235</v>
      </c>
    </row>
    <row r="1429" spans="1:15" ht="15">
      <c r="A1429" s="66" t="s">
        <v>223</v>
      </c>
      <c r="B1429" s="66" t="s">
        <v>1092</v>
      </c>
      <c r="C1429" s="67"/>
      <c r="D1429" s="68"/>
      <c r="E1429" s="69"/>
      <c r="F1429" s="70"/>
      <c r="G1429" s="67"/>
      <c r="H1429" s="71"/>
      <c r="I1429" s="72"/>
      <c r="J1429" s="72"/>
      <c r="K1429" s="36"/>
      <c r="L1429" s="79">
        <v>1429</v>
      </c>
      <c r="M1429" s="79"/>
      <c r="N1429" s="74"/>
      <c r="O1429" s="81" t="s">
        <v>1235</v>
      </c>
    </row>
    <row r="1430" spans="1:15" ht="15">
      <c r="A1430" s="66" t="s">
        <v>223</v>
      </c>
      <c r="B1430" s="66" t="s">
        <v>1093</v>
      </c>
      <c r="C1430" s="67"/>
      <c r="D1430" s="68"/>
      <c r="E1430" s="69"/>
      <c r="F1430" s="70"/>
      <c r="G1430" s="67"/>
      <c r="H1430" s="71"/>
      <c r="I1430" s="72"/>
      <c r="J1430" s="72"/>
      <c r="K1430" s="36"/>
      <c r="L1430" s="79">
        <v>1430</v>
      </c>
      <c r="M1430" s="79"/>
      <c r="N1430" s="74"/>
      <c r="O1430" s="81" t="s">
        <v>1235</v>
      </c>
    </row>
    <row r="1431" spans="1:15" ht="15">
      <c r="A1431" s="66" t="s">
        <v>223</v>
      </c>
      <c r="B1431" s="66" t="s">
        <v>1094</v>
      </c>
      <c r="C1431" s="67"/>
      <c r="D1431" s="68"/>
      <c r="E1431" s="69"/>
      <c r="F1431" s="70"/>
      <c r="G1431" s="67"/>
      <c r="H1431" s="71"/>
      <c r="I1431" s="72"/>
      <c r="J1431" s="72"/>
      <c r="K1431" s="36"/>
      <c r="L1431" s="79">
        <v>1431</v>
      </c>
      <c r="M1431" s="79"/>
      <c r="N1431" s="74"/>
      <c r="O1431" s="81" t="s">
        <v>1235</v>
      </c>
    </row>
    <row r="1432" spans="1:15" ht="15">
      <c r="A1432" s="66" t="s">
        <v>223</v>
      </c>
      <c r="B1432" s="66" t="s">
        <v>1095</v>
      </c>
      <c r="C1432" s="67"/>
      <c r="D1432" s="68"/>
      <c r="E1432" s="69"/>
      <c r="F1432" s="70"/>
      <c r="G1432" s="67"/>
      <c r="H1432" s="71"/>
      <c r="I1432" s="72"/>
      <c r="J1432" s="72"/>
      <c r="K1432" s="36"/>
      <c r="L1432" s="79">
        <v>1432</v>
      </c>
      <c r="M1432" s="79"/>
      <c r="N1432" s="74"/>
      <c r="O1432" s="81" t="s">
        <v>1235</v>
      </c>
    </row>
    <row r="1433" spans="1:15" ht="15">
      <c r="A1433" s="66" t="s">
        <v>223</v>
      </c>
      <c r="B1433" s="66" t="s">
        <v>1096</v>
      </c>
      <c r="C1433" s="67"/>
      <c r="D1433" s="68"/>
      <c r="E1433" s="69"/>
      <c r="F1433" s="70"/>
      <c r="G1433" s="67"/>
      <c r="H1433" s="71"/>
      <c r="I1433" s="72"/>
      <c r="J1433" s="72"/>
      <c r="K1433" s="36"/>
      <c r="L1433" s="79">
        <v>1433</v>
      </c>
      <c r="M1433" s="79"/>
      <c r="N1433" s="74"/>
      <c r="O1433" s="81" t="s">
        <v>1235</v>
      </c>
    </row>
    <row r="1434" spans="1:15" ht="15">
      <c r="A1434" s="66" t="s">
        <v>223</v>
      </c>
      <c r="B1434" s="66" t="s">
        <v>1097</v>
      </c>
      <c r="C1434" s="67"/>
      <c r="D1434" s="68"/>
      <c r="E1434" s="69"/>
      <c r="F1434" s="70"/>
      <c r="G1434" s="67"/>
      <c r="H1434" s="71"/>
      <c r="I1434" s="72"/>
      <c r="J1434" s="72"/>
      <c r="K1434" s="36"/>
      <c r="L1434" s="79">
        <v>1434</v>
      </c>
      <c r="M1434" s="79"/>
      <c r="N1434" s="74"/>
      <c r="O1434" s="81" t="s">
        <v>1235</v>
      </c>
    </row>
    <row r="1435" spans="1:15" ht="15">
      <c r="A1435" s="66" t="s">
        <v>223</v>
      </c>
      <c r="B1435" s="66" t="s">
        <v>1098</v>
      </c>
      <c r="C1435" s="67"/>
      <c r="D1435" s="68"/>
      <c r="E1435" s="69"/>
      <c r="F1435" s="70"/>
      <c r="G1435" s="67"/>
      <c r="H1435" s="71"/>
      <c r="I1435" s="72"/>
      <c r="J1435" s="72"/>
      <c r="K1435" s="36"/>
      <c r="L1435" s="79">
        <v>1435</v>
      </c>
      <c r="M1435" s="79"/>
      <c r="N1435" s="74"/>
      <c r="O1435" s="81" t="s">
        <v>1235</v>
      </c>
    </row>
    <row r="1436" spans="1:15" ht="15">
      <c r="A1436" s="66" t="s">
        <v>223</v>
      </c>
      <c r="B1436" s="66" t="s">
        <v>1099</v>
      </c>
      <c r="C1436" s="67"/>
      <c r="D1436" s="68"/>
      <c r="E1436" s="69"/>
      <c r="F1436" s="70"/>
      <c r="G1436" s="67"/>
      <c r="H1436" s="71"/>
      <c r="I1436" s="72"/>
      <c r="J1436" s="72"/>
      <c r="K1436" s="36"/>
      <c r="L1436" s="79">
        <v>1436</v>
      </c>
      <c r="M1436" s="79"/>
      <c r="N1436" s="74"/>
      <c r="O1436" s="81" t="s">
        <v>1235</v>
      </c>
    </row>
    <row r="1437" spans="1:15" ht="15">
      <c r="A1437" s="66" t="s">
        <v>223</v>
      </c>
      <c r="B1437" s="66" t="s">
        <v>1100</v>
      </c>
      <c r="C1437" s="67"/>
      <c r="D1437" s="68"/>
      <c r="E1437" s="69"/>
      <c r="F1437" s="70"/>
      <c r="G1437" s="67"/>
      <c r="H1437" s="71"/>
      <c r="I1437" s="72"/>
      <c r="J1437" s="72"/>
      <c r="K1437" s="36"/>
      <c r="L1437" s="79">
        <v>1437</v>
      </c>
      <c r="M1437" s="79"/>
      <c r="N1437" s="74"/>
      <c r="O1437" s="81" t="s">
        <v>1235</v>
      </c>
    </row>
    <row r="1438" spans="1:15" ht="15">
      <c r="A1438" s="66" t="s">
        <v>223</v>
      </c>
      <c r="B1438" s="66" t="s">
        <v>1101</v>
      </c>
      <c r="C1438" s="67"/>
      <c r="D1438" s="68"/>
      <c r="E1438" s="69"/>
      <c r="F1438" s="70"/>
      <c r="G1438" s="67"/>
      <c r="H1438" s="71"/>
      <c r="I1438" s="72"/>
      <c r="J1438" s="72"/>
      <c r="K1438" s="36"/>
      <c r="L1438" s="79">
        <v>1438</v>
      </c>
      <c r="M1438" s="79"/>
      <c r="N1438" s="74"/>
      <c r="O1438" s="81" t="s">
        <v>1235</v>
      </c>
    </row>
    <row r="1439" spans="1:15" ht="15">
      <c r="A1439" s="66" t="s">
        <v>220</v>
      </c>
      <c r="B1439" s="66" t="s">
        <v>1102</v>
      </c>
      <c r="C1439" s="67"/>
      <c r="D1439" s="68"/>
      <c r="E1439" s="69"/>
      <c r="F1439" s="70"/>
      <c r="G1439" s="67"/>
      <c r="H1439" s="71"/>
      <c r="I1439" s="72"/>
      <c r="J1439" s="72"/>
      <c r="K1439" s="36"/>
      <c r="L1439" s="79">
        <v>1439</v>
      </c>
      <c r="M1439" s="79"/>
      <c r="N1439" s="74"/>
      <c r="O1439" s="81" t="s">
        <v>1235</v>
      </c>
    </row>
    <row r="1440" spans="1:15" ht="15">
      <c r="A1440" s="66" t="s">
        <v>224</v>
      </c>
      <c r="B1440" s="66" t="s">
        <v>1102</v>
      </c>
      <c r="C1440" s="67"/>
      <c r="D1440" s="68"/>
      <c r="E1440" s="69"/>
      <c r="F1440" s="70"/>
      <c r="G1440" s="67"/>
      <c r="H1440" s="71"/>
      <c r="I1440" s="72"/>
      <c r="J1440" s="72"/>
      <c r="K1440" s="36"/>
      <c r="L1440" s="79">
        <v>1440</v>
      </c>
      <c r="M1440" s="79"/>
      <c r="N1440" s="74"/>
      <c r="O1440" s="81" t="s">
        <v>1235</v>
      </c>
    </row>
    <row r="1441" spans="1:15" ht="15">
      <c r="A1441" s="66" t="s">
        <v>224</v>
      </c>
      <c r="B1441" s="66" t="s">
        <v>1103</v>
      </c>
      <c r="C1441" s="67"/>
      <c r="D1441" s="68"/>
      <c r="E1441" s="69"/>
      <c r="F1441" s="70"/>
      <c r="G1441" s="67"/>
      <c r="H1441" s="71"/>
      <c r="I1441" s="72"/>
      <c r="J1441" s="72"/>
      <c r="K1441" s="36"/>
      <c r="L1441" s="79">
        <v>1441</v>
      </c>
      <c r="M1441" s="79"/>
      <c r="N1441" s="74"/>
      <c r="O1441" s="81" t="s">
        <v>1235</v>
      </c>
    </row>
    <row r="1442" spans="1:15" ht="15">
      <c r="A1442" s="66" t="s">
        <v>224</v>
      </c>
      <c r="B1442" s="66" t="s">
        <v>1104</v>
      </c>
      <c r="C1442" s="67"/>
      <c r="D1442" s="68"/>
      <c r="E1442" s="69"/>
      <c r="F1442" s="70"/>
      <c r="G1442" s="67"/>
      <c r="H1442" s="71"/>
      <c r="I1442" s="72"/>
      <c r="J1442" s="72"/>
      <c r="K1442" s="36"/>
      <c r="L1442" s="79">
        <v>1442</v>
      </c>
      <c r="M1442" s="79"/>
      <c r="N1442" s="74"/>
      <c r="O1442" s="81" t="s">
        <v>1235</v>
      </c>
    </row>
    <row r="1443" spans="1:15" ht="15">
      <c r="A1443" s="66" t="s">
        <v>224</v>
      </c>
      <c r="B1443" s="66" t="s">
        <v>1105</v>
      </c>
      <c r="C1443" s="67"/>
      <c r="D1443" s="68"/>
      <c r="E1443" s="69"/>
      <c r="F1443" s="70"/>
      <c r="G1443" s="67"/>
      <c r="H1443" s="71"/>
      <c r="I1443" s="72"/>
      <c r="J1443" s="72"/>
      <c r="K1443" s="36"/>
      <c r="L1443" s="79">
        <v>1443</v>
      </c>
      <c r="M1443" s="79"/>
      <c r="N1443" s="74"/>
      <c r="O1443" s="81" t="s">
        <v>1235</v>
      </c>
    </row>
    <row r="1444" spans="1:15" ht="15">
      <c r="A1444" s="66" t="s">
        <v>214</v>
      </c>
      <c r="B1444" s="66" t="s">
        <v>1106</v>
      </c>
      <c r="C1444" s="67"/>
      <c r="D1444" s="68"/>
      <c r="E1444" s="69"/>
      <c r="F1444" s="70"/>
      <c r="G1444" s="67"/>
      <c r="H1444" s="71"/>
      <c r="I1444" s="72"/>
      <c r="J1444" s="72"/>
      <c r="K1444" s="36"/>
      <c r="L1444" s="79">
        <v>1444</v>
      </c>
      <c r="M1444" s="79"/>
      <c r="N1444" s="74"/>
      <c r="O1444" s="81" t="s">
        <v>1235</v>
      </c>
    </row>
    <row r="1445" spans="1:15" ht="15">
      <c r="A1445" s="66" t="s">
        <v>224</v>
      </c>
      <c r="B1445" s="66" t="s">
        <v>1106</v>
      </c>
      <c r="C1445" s="67"/>
      <c r="D1445" s="68"/>
      <c r="E1445" s="69"/>
      <c r="F1445" s="70"/>
      <c r="G1445" s="67"/>
      <c r="H1445" s="71"/>
      <c r="I1445" s="72"/>
      <c r="J1445" s="72"/>
      <c r="K1445" s="36"/>
      <c r="L1445" s="79">
        <v>1445</v>
      </c>
      <c r="M1445" s="79"/>
      <c r="N1445" s="74"/>
      <c r="O1445" s="81" t="s">
        <v>1235</v>
      </c>
    </row>
    <row r="1446" spans="1:15" ht="15">
      <c r="A1446" s="66" t="s">
        <v>224</v>
      </c>
      <c r="B1446" s="66" t="s">
        <v>1107</v>
      </c>
      <c r="C1446" s="67"/>
      <c r="D1446" s="68"/>
      <c r="E1446" s="69"/>
      <c r="F1446" s="70"/>
      <c r="G1446" s="67"/>
      <c r="H1446" s="71"/>
      <c r="I1446" s="72"/>
      <c r="J1446" s="72"/>
      <c r="K1446" s="36"/>
      <c r="L1446" s="79">
        <v>1446</v>
      </c>
      <c r="M1446" s="79"/>
      <c r="N1446" s="74"/>
      <c r="O1446" s="81" t="s">
        <v>1235</v>
      </c>
    </row>
    <row r="1447" spans="1:15" ht="15">
      <c r="A1447" s="66" t="s">
        <v>224</v>
      </c>
      <c r="B1447" s="66" t="s">
        <v>1108</v>
      </c>
      <c r="C1447" s="67"/>
      <c r="D1447" s="68"/>
      <c r="E1447" s="69"/>
      <c r="F1447" s="70"/>
      <c r="G1447" s="67"/>
      <c r="H1447" s="71"/>
      <c r="I1447" s="72"/>
      <c r="J1447" s="72"/>
      <c r="K1447" s="36"/>
      <c r="L1447" s="79">
        <v>1447</v>
      </c>
      <c r="M1447" s="79"/>
      <c r="N1447" s="74"/>
      <c r="O1447" s="81" t="s">
        <v>1235</v>
      </c>
    </row>
    <row r="1448" spans="1:15" ht="15">
      <c r="A1448" s="66" t="s">
        <v>214</v>
      </c>
      <c r="B1448" s="66" t="s">
        <v>1109</v>
      </c>
      <c r="C1448" s="67"/>
      <c r="D1448" s="68"/>
      <c r="E1448" s="69"/>
      <c r="F1448" s="70"/>
      <c r="G1448" s="67"/>
      <c r="H1448" s="71"/>
      <c r="I1448" s="72"/>
      <c r="J1448" s="72"/>
      <c r="K1448" s="36"/>
      <c r="L1448" s="79">
        <v>1448</v>
      </c>
      <c r="M1448" s="79"/>
      <c r="N1448" s="74"/>
      <c r="O1448" s="81" t="s">
        <v>1235</v>
      </c>
    </row>
    <row r="1449" spans="1:15" ht="15">
      <c r="A1449" s="66" t="s">
        <v>224</v>
      </c>
      <c r="B1449" s="66" t="s">
        <v>1109</v>
      </c>
      <c r="C1449" s="67"/>
      <c r="D1449" s="68"/>
      <c r="E1449" s="69"/>
      <c r="F1449" s="70"/>
      <c r="G1449" s="67"/>
      <c r="H1449" s="71"/>
      <c r="I1449" s="72"/>
      <c r="J1449" s="72"/>
      <c r="K1449" s="36"/>
      <c r="L1449" s="79">
        <v>1449</v>
      </c>
      <c r="M1449" s="79"/>
      <c r="N1449" s="74"/>
      <c r="O1449" s="81" t="s">
        <v>1235</v>
      </c>
    </row>
    <row r="1450" spans="1:15" ht="15">
      <c r="A1450" s="66" t="s">
        <v>214</v>
      </c>
      <c r="B1450" s="66" t="s">
        <v>1110</v>
      </c>
      <c r="C1450" s="67"/>
      <c r="D1450" s="68"/>
      <c r="E1450" s="69"/>
      <c r="F1450" s="70"/>
      <c r="G1450" s="67"/>
      <c r="H1450" s="71"/>
      <c r="I1450" s="72"/>
      <c r="J1450" s="72"/>
      <c r="K1450" s="36"/>
      <c r="L1450" s="79">
        <v>1450</v>
      </c>
      <c r="M1450" s="79"/>
      <c r="N1450" s="74"/>
      <c r="O1450" s="81" t="s">
        <v>1235</v>
      </c>
    </row>
    <row r="1451" spans="1:15" ht="15">
      <c r="A1451" s="66" t="s">
        <v>224</v>
      </c>
      <c r="B1451" s="66" t="s">
        <v>1110</v>
      </c>
      <c r="C1451" s="67"/>
      <c r="D1451" s="68"/>
      <c r="E1451" s="69"/>
      <c r="F1451" s="70"/>
      <c r="G1451" s="67"/>
      <c r="H1451" s="71"/>
      <c r="I1451" s="72"/>
      <c r="J1451" s="72"/>
      <c r="K1451" s="36"/>
      <c r="L1451" s="79">
        <v>1451</v>
      </c>
      <c r="M1451" s="79"/>
      <c r="N1451" s="74"/>
      <c r="O1451" s="81" t="s">
        <v>1235</v>
      </c>
    </row>
    <row r="1452" spans="1:15" ht="15">
      <c r="A1452" s="66" t="s">
        <v>224</v>
      </c>
      <c r="B1452" s="66" t="s">
        <v>1111</v>
      </c>
      <c r="C1452" s="67"/>
      <c r="D1452" s="68"/>
      <c r="E1452" s="69"/>
      <c r="F1452" s="70"/>
      <c r="G1452" s="67"/>
      <c r="H1452" s="71"/>
      <c r="I1452" s="72"/>
      <c r="J1452" s="72"/>
      <c r="K1452" s="36"/>
      <c r="L1452" s="79">
        <v>1452</v>
      </c>
      <c r="M1452" s="79"/>
      <c r="N1452" s="74"/>
      <c r="O1452" s="81" t="s">
        <v>1235</v>
      </c>
    </row>
    <row r="1453" spans="1:15" ht="15">
      <c r="A1453" s="66" t="s">
        <v>222</v>
      </c>
      <c r="B1453" s="66" t="s">
        <v>1112</v>
      </c>
      <c r="C1453" s="67"/>
      <c r="D1453" s="68"/>
      <c r="E1453" s="69"/>
      <c r="F1453" s="70"/>
      <c r="G1453" s="67"/>
      <c r="H1453" s="71"/>
      <c r="I1453" s="72"/>
      <c r="J1453" s="72"/>
      <c r="K1453" s="36"/>
      <c r="L1453" s="79">
        <v>1453</v>
      </c>
      <c r="M1453" s="79"/>
      <c r="N1453" s="74"/>
      <c r="O1453" s="81" t="s">
        <v>1235</v>
      </c>
    </row>
    <row r="1454" spans="1:15" ht="15">
      <c r="A1454" s="66" t="s">
        <v>224</v>
      </c>
      <c r="B1454" s="66" t="s">
        <v>1112</v>
      </c>
      <c r="C1454" s="67"/>
      <c r="D1454" s="68"/>
      <c r="E1454" s="69"/>
      <c r="F1454" s="70"/>
      <c r="G1454" s="67"/>
      <c r="H1454" s="71"/>
      <c r="I1454" s="72"/>
      <c r="J1454" s="72"/>
      <c r="K1454" s="36"/>
      <c r="L1454" s="79">
        <v>1454</v>
      </c>
      <c r="M1454" s="79"/>
      <c r="N1454" s="74"/>
      <c r="O1454" s="81" t="s">
        <v>1235</v>
      </c>
    </row>
    <row r="1455" spans="1:15" ht="15">
      <c r="A1455" s="66" t="s">
        <v>224</v>
      </c>
      <c r="B1455" s="66" t="s">
        <v>1113</v>
      </c>
      <c r="C1455" s="67"/>
      <c r="D1455" s="68"/>
      <c r="E1455" s="69"/>
      <c r="F1455" s="70"/>
      <c r="G1455" s="67"/>
      <c r="H1455" s="71"/>
      <c r="I1455" s="72"/>
      <c r="J1455" s="72"/>
      <c r="K1455" s="36"/>
      <c r="L1455" s="79">
        <v>1455</v>
      </c>
      <c r="M1455" s="79"/>
      <c r="N1455" s="74"/>
      <c r="O1455" s="81" t="s">
        <v>1235</v>
      </c>
    </row>
    <row r="1456" spans="1:15" ht="15">
      <c r="A1456" s="66" t="s">
        <v>207</v>
      </c>
      <c r="B1456" s="66" t="s">
        <v>528</v>
      </c>
      <c r="C1456" s="67"/>
      <c r="D1456" s="68"/>
      <c r="E1456" s="69"/>
      <c r="F1456" s="70"/>
      <c r="G1456" s="67"/>
      <c r="H1456" s="71"/>
      <c r="I1456" s="72"/>
      <c r="J1456" s="72"/>
      <c r="K1456" s="36"/>
      <c r="L1456" s="79">
        <v>1456</v>
      </c>
      <c r="M1456" s="79"/>
      <c r="N1456" s="74"/>
      <c r="O1456" s="81" t="s">
        <v>1235</v>
      </c>
    </row>
    <row r="1457" spans="1:15" ht="15">
      <c r="A1457" s="66" t="s">
        <v>224</v>
      </c>
      <c r="B1457" s="66" t="s">
        <v>528</v>
      </c>
      <c r="C1457" s="67"/>
      <c r="D1457" s="68"/>
      <c r="E1457" s="69"/>
      <c r="F1457" s="70"/>
      <c r="G1457" s="67"/>
      <c r="H1457" s="71"/>
      <c r="I1457" s="72"/>
      <c r="J1457" s="72"/>
      <c r="K1457" s="36"/>
      <c r="L1457" s="79">
        <v>1457</v>
      </c>
      <c r="M1457" s="79"/>
      <c r="N1457" s="74"/>
      <c r="O1457" s="81" t="s">
        <v>1235</v>
      </c>
    </row>
    <row r="1458" spans="1:15" ht="15">
      <c r="A1458" s="66" t="s">
        <v>224</v>
      </c>
      <c r="B1458" s="66" t="s">
        <v>1114</v>
      </c>
      <c r="C1458" s="67"/>
      <c r="D1458" s="68"/>
      <c r="E1458" s="69"/>
      <c r="F1458" s="70"/>
      <c r="G1458" s="67"/>
      <c r="H1458" s="71"/>
      <c r="I1458" s="72"/>
      <c r="J1458" s="72"/>
      <c r="K1458" s="36"/>
      <c r="L1458" s="79">
        <v>1458</v>
      </c>
      <c r="M1458" s="79"/>
      <c r="N1458" s="74"/>
      <c r="O1458" s="81" t="s">
        <v>1235</v>
      </c>
    </row>
    <row r="1459" spans="1:15" ht="15">
      <c r="A1459" s="66" t="s">
        <v>224</v>
      </c>
      <c r="B1459" s="66" t="s">
        <v>608</v>
      </c>
      <c r="C1459" s="67"/>
      <c r="D1459" s="68"/>
      <c r="E1459" s="69"/>
      <c r="F1459" s="70"/>
      <c r="G1459" s="67"/>
      <c r="H1459" s="71"/>
      <c r="I1459" s="72"/>
      <c r="J1459" s="72"/>
      <c r="K1459" s="36"/>
      <c r="L1459" s="79">
        <v>1459</v>
      </c>
      <c r="M1459" s="79"/>
      <c r="N1459" s="74"/>
      <c r="O1459" s="81" t="s">
        <v>1235</v>
      </c>
    </row>
    <row r="1460" spans="1:15" ht="15">
      <c r="A1460" s="66" t="s">
        <v>224</v>
      </c>
      <c r="B1460" s="66" t="s">
        <v>1115</v>
      </c>
      <c r="C1460" s="67"/>
      <c r="D1460" s="68"/>
      <c r="E1460" s="69"/>
      <c r="F1460" s="70"/>
      <c r="G1460" s="67"/>
      <c r="H1460" s="71"/>
      <c r="I1460" s="72"/>
      <c r="J1460" s="72"/>
      <c r="K1460" s="36"/>
      <c r="L1460" s="79">
        <v>1460</v>
      </c>
      <c r="M1460" s="79"/>
      <c r="N1460" s="74"/>
      <c r="O1460" s="81" t="s">
        <v>1235</v>
      </c>
    </row>
    <row r="1461" spans="1:15" ht="15">
      <c r="A1461" s="66" t="s">
        <v>224</v>
      </c>
      <c r="B1461" s="66" t="s">
        <v>1116</v>
      </c>
      <c r="C1461" s="67"/>
      <c r="D1461" s="68"/>
      <c r="E1461" s="69"/>
      <c r="F1461" s="70"/>
      <c r="G1461" s="67"/>
      <c r="H1461" s="71"/>
      <c r="I1461" s="72"/>
      <c r="J1461" s="72"/>
      <c r="K1461" s="36"/>
      <c r="L1461" s="79">
        <v>1461</v>
      </c>
      <c r="M1461" s="79"/>
      <c r="N1461" s="74"/>
      <c r="O1461" s="81" t="s">
        <v>1235</v>
      </c>
    </row>
    <row r="1462" spans="1:15" ht="15">
      <c r="A1462" s="66" t="s">
        <v>224</v>
      </c>
      <c r="B1462" s="66" t="s">
        <v>1117</v>
      </c>
      <c r="C1462" s="67"/>
      <c r="D1462" s="68"/>
      <c r="E1462" s="69"/>
      <c r="F1462" s="70"/>
      <c r="G1462" s="67"/>
      <c r="H1462" s="71"/>
      <c r="I1462" s="72"/>
      <c r="J1462" s="72"/>
      <c r="K1462" s="36"/>
      <c r="L1462" s="79">
        <v>1462</v>
      </c>
      <c r="M1462" s="79"/>
      <c r="N1462" s="74"/>
      <c r="O1462" s="81" t="s">
        <v>1235</v>
      </c>
    </row>
    <row r="1463" spans="1:15" ht="15">
      <c r="A1463" s="66" t="s">
        <v>179</v>
      </c>
      <c r="B1463" s="66" t="s">
        <v>286</v>
      </c>
      <c r="C1463" s="67"/>
      <c r="D1463" s="68"/>
      <c r="E1463" s="69"/>
      <c r="F1463" s="70"/>
      <c r="G1463" s="67"/>
      <c r="H1463" s="71"/>
      <c r="I1463" s="72"/>
      <c r="J1463" s="72"/>
      <c r="K1463" s="36"/>
      <c r="L1463" s="79">
        <v>1463</v>
      </c>
      <c r="M1463" s="79"/>
      <c r="N1463" s="74"/>
      <c r="O1463" s="81" t="s">
        <v>1235</v>
      </c>
    </row>
    <row r="1464" spans="1:15" ht="15">
      <c r="A1464" s="66" t="s">
        <v>218</v>
      </c>
      <c r="B1464" s="66" t="s">
        <v>286</v>
      </c>
      <c r="C1464" s="67"/>
      <c r="D1464" s="68"/>
      <c r="E1464" s="69"/>
      <c r="F1464" s="70"/>
      <c r="G1464" s="67"/>
      <c r="H1464" s="71"/>
      <c r="I1464" s="72"/>
      <c r="J1464" s="72"/>
      <c r="K1464" s="36"/>
      <c r="L1464" s="79">
        <v>1464</v>
      </c>
      <c r="M1464" s="79"/>
      <c r="N1464" s="74"/>
      <c r="O1464" s="81" t="s">
        <v>1235</v>
      </c>
    </row>
    <row r="1465" spans="1:15" ht="15">
      <c r="A1465" s="66" t="s">
        <v>221</v>
      </c>
      <c r="B1465" s="66" t="s">
        <v>286</v>
      </c>
      <c r="C1465" s="67"/>
      <c r="D1465" s="68"/>
      <c r="E1465" s="69"/>
      <c r="F1465" s="70"/>
      <c r="G1465" s="67"/>
      <c r="H1465" s="71"/>
      <c r="I1465" s="72"/>
      <c r="J1465" s="72"/>
      <c r="K1465" s="36"/>
      <c r="L1465" s="79">
        <v>1465</v>
      </c>
      <c r="M1465" s="79"/>
      <c r="N1465" s="74"/>
      <c r="O1465" s="81" t="s">
        <v>1235</v>
      </c>
    </row>
    <row r="1466" spans="1:15" ht="15">
      <c r="A1466" s="66" t="s">
        <v>224</v>
      </c>
      <c r="B1466" s="66" t="s">
        <v>286</v>
      </c>
      <c r="C1466" s="67"/>
      <c r="D1466" s="68"/>
      <c r="E1466" s="69"/>
      <c r="F1466" s="70"/>
      <c r="G1466" s="67"/>
      <c r="H1466" s="71"/>
      <c r="I1466" s="72"/>
      <c r="J1466" s="72"/>
      <c r="K1466" s="36"/>
      <c r="L1466" s="79">
        <v>1466</v>
      </c>
      <c r="M1466" s="79"/>
      <c r="N1466" s="74"/>
      <c r="O1466" s="81" t="s">
        <v>1235</v>
      </c>
    </row>
    <row r="1467" spans="1:15" ht="15">
      <c r="A1467" s="66" t="s">
        <v>224</v>
      </c>
      <c r="B1467" s="66" t="s">
        <v>1118</v>
      </c>
      <c r="C1467" s="67"/>
      <c r="D1467" s="68"/>
      <c r="E1467" s="69"/>
      <c r="F1467" s="70"/>
      <c r="G1467" s="67"/>
      <c r="H1467" s="71"/>
      <c r="I1467" s="72"/>
      <c r="J1467" s="72"/>
      <c r="K1467" s="36"/>
      <c r="L1467" s="79">
        <v>1467</v>
      </c>
      <c r="M1467" s="79"/>
      <c r="N1467" s="74"/>
      <c r="O1467" s="81" t="s">
        <v>1235</v>
      </c>
    </row>
    <row r="1468" spans="1:15" ht="15">
      <c r="A1468" s="66" t="s">
        <v>179</v>
      </c>
      <c r="B1468" s="66" t="s">
        <v>1119</v>
      </c>
      <c r="C1468" s="67"/>
      <c r="D1468" s="68"/>
      <c r="E1468" s="69"/>
      <c r="F1468" s="70"/>
      <c r="G1468" s="67"/>
      <c r="H1468" s="71"/>
      <c r="I1468" s="72"/>
      <c r="J1468" s="72"/>
      <c r="K1468" s="36"/>
      <c r="L1468" s="79">
        <v>1468</v>
      </c>
      <c r="M1468" s="79"/>
      <c r="N1468" s="74"/>
      <c r="O1468" s="81" t="s">
        <v>1235</v>
      </c>
    </row>
    <row r="1469" spans="1:15" ht="15">
      <c r="A1469" s="66" t="s">
        <v>224</v>
      </c>
      <c r="B1469" s="66" t="s">
        <v>1119</v>
      </c>
      <c r="C1469" s="67"/>
      <c r="D1469" s="68"/>
      <c r="E1469" s="69"/>
      <c r="F1469" s="70"/>
      <c r="G1469" s="67"/>
      <c r="H1469" s="71"/>
      <c r="I1469" s="72"/>
      <c r="J1469" s="72"/>
      <c r="K1469" s="36"/>
      <c r="L1469" s="79">
        <v>1469</v>
      </c>
      <c r="M1469" s="79"/>
      <c r="N1469" s="74"/>
      <c r="O1469" s="81" t="s">
        <v>1235</v>
      </c>
    </row>
    <row r="1470" spans="1:15" ht="15">
      <c r="A1470" s="66" t="s">
        <v>224</v>
      </c>
      <c r="B1470" s="66" t="s">
        <v>1120</v>
      </c>
      <c r="C1470" s="67"/>
      <c r="D1470" s="68"/>
      <c r="E1470" s="69"/>
      <c r="F1470" s="70"/>
      <c r="G1470" s="67"/>
      <c r="H1470" s="71"/>
      <c r="I1470" s="72"/>
      <c r="J1470" s="72"/>
      <c r="K1470" s="36"/>
      <c r="L1470" s="79">
        <v>1470</v>
      </c>
      <c r="M1470" s="79"/>
      <c r="N1470" s="74"/>
      <c r="O1470" s="81" t="s">
        <v>1235</v>
      </c>
    </row>
    <row r="1471" spans="1:15" ht="15">
      <c r="A1471" s="66" t="s">
        <v>219</v>
      </c>
      <c r="B1471" s="66" t="s">
        <v>744</v>
      </c>
      <c r="C1471" s="67"/>
      <c r="D1471" s="68"/>
      <c r="E1471" s="69"/>
      <c r="F1471" s="70"/>
      <c r="G1471" s="67"/>
      <c r="H1471" s="71"/>
      <c r="I1471" s="72"/>
      <c r="J1471" s="72"/>
      <c r="K1471" s="36"/>
      <c r="L1471" s="79">
        <v>1471</v>
      </c>
      <c r="M1471" s="79"/>
      <c r="N1471" s="74"/>
      <c r="O1471" s="81" t="s">
        <v>1235</v>
      </c>
    </row>
    <row r="1472" spans="1:15" ht="15">
      <c r="A1472" s="66" t="s">
        <v>224</v>
      </c>
      <c r="B1472" s="66" t="s">
        <v>744</v>
      </c>
      <c r="C1472" s="67"/>
      <c r="D1472" s="68"/>
      <c r="E1472" s="69"/>
      <c r="F1472" s="70"/>
      <c r="G1472" s="67"/>
      <c r="H1472" s="71"/>
      <c r="I1472" s="72"/>
      <c r="J1472" s="72"/>
      <c r="K1472" s="36"/>
      <c r="L1472" s="79">
        <v>1472</v>
      </c>
      <c r="M1472" s="79"/>
      <c r="N1472" s="74"/>
      <c r="O1472" s="81" t="s">
        <v>1235</v>
      </c>
    </row>
    <row r="1473" spans="1:15" ht="15">
      <c r="A1473" s="66" t="s">
        <v>224</v>
      </c>
      <c r="B1473" s="66" t="s">
        <v>1121</v>
      </c>
      <c r="C1473" s="67"/>
      <c r="D1473" s="68"/>
      <c r="E1473" s="69"/>
      <c r="F1473" s="70"/>
      <c r="G1473" s="67"/>
      <c r="H1473" s="71"/>
      <c r="I1473" s="72"/>
      <c r="J1473" s="72"/>
      <c r="K1473" s="36"/>
      <c r="L1473" s="79">
        <v>1473</v>
      </c>
      <c r="M1473" s="79"/>
      <c r="N1473" s="74"/>
      <c r="O1473" s="81" t="s">
        <v>1235</v>
      </c>
    </row>
    <row r="1474" spans="1:15" ht="15">
      <c r="A1474" s="66" t="s">
        <v>224</v>
      </c>
      <c r="B1474" s="66" t="s">
        <v>1122</v>
      </c>
      <c r="C1474" s="67"/>
      <c r="D1474" s="68"/>
      <c r="E1474" s="69"/>
      <c r="F1474" s="70"/>
      <c r="G1474" s="67"/>
      <c r="H1474" s="71"/>
      <c r="I1474" s="72"/>
      <c r="J1474" s="72"/>
      <c r="K1474" s="36"/>
      <c r="L1474" s="79">
        <v>1474</v>
      </c>
      <c r="M1474" s="79"/>
      <c r="N1474" s="74"/>
      <c r="O1474" s="81" t="s">
        <v>1235</v>
      </c>
    </row>
    <row r="1475" spans="1:15" ht="15">
      <c r="A1475" s="66" t="s">
        <v>224</v>
      </c>
      <c r="B1475" s="66" t="s">
        <v>1123</v>
      </c>
      <c r="C1475" s="67"/>
      <c r="D1475" s="68"/>
      <c r="E1475" s="69"/>
      <c r="F1475" s="70"/>
      <c r="G1475" s="67"/>
      <c r="H1475" s="71"/>
      <c r="I1475" s="72"/>
      <c r="J1475" s="72"/>
      <c r="K1475" s="36"/>
      <c r="L1475" s="79">
        <v>1475</v>
      </c>
      <c r="M1475" s="79"/>
      <c r="N1475" s="74"/>
      <c r="O1475" s="81" t="s">
        <v>1235</v>
      </c>
    </row>
    <row r="1476" spans="1:15" ht="15">
      <c r="A1476" s="66" t="s">
        <v>224</v>
      </c>
      <c r="B1476" s="66" t="s">
        <v>1124</v>
      </c>
      <c r="C1476" s="67"/>
      <c r="D1476" s="68"/>
      <c r="E1476" s="69"/>
      <c r="F1476" s="70"/>
      <c r="G1476" s="67"/>
      <c r="H1476" s="71"/>
      <c r="I1476" s="72"/>
      <c r="J1476" s="72"/>
      <c r="K1476" s="36"/>
      <c r="L1476" s="79">
        <v>1476</v>
      </c>
      <c r="M1476" s="79"/>
      <c r="N1476" s="74"/>
      <c r="O1476" s="81" t="s">
        <v>1235</v>
      </c>
    </row>
    <row r="1477" spans="1:15" ht="15">
      <c r="A1477" s="66" t="s">
        <v>224</v>
      </c>
      <c r="B1477" s="66" t="s">
        <v>1125</v>
      </c>
      <c r="C1477" s="67"/>
      <c r="D1477" s="68"/>
      <c r="E1477" s="69"/>
      <c r="F1477" s="70"/>
      <c r="G1477" s="67"/>
      <c r="H1477" s="71"/>
      <c r="I1477" s="72"/>
      <c r="J1477" s="72"/>
      <c r="K1477" s="36"/>
      <c r="L1477" s="79">
        <v>1477</v>
      </c>
      <c r="M1477" s="79"/>
      <c r="N1477" s="74"/>
      <c r="O1477" s="81" t="s">
        <v>1235</v>
      </c>
    </row>
    <row r="1478" spans="1:15" ht="15">
      <c r="A1478" s="66" t="s">
        <v>224</v>
      </c>
      <c r="B1478" s="66" t="s">
        <v>1126</v>
      </c>
      <c r="C1478" s="67"/>
      <c r="D1478" s="68"/>
      <c r="E1478" s="69"/>
      <c r="F1478" s="70"/>
      <c r="G1478" s="67"/>
      <c r="H1478" s="71"/>
      <c r="I1478" s="72"/>
      <c r="J1478" s="72"/>
      <c r="K1478" s="36"/>
      <c r="L1478" s="79">
        <v>1478</v>
      </c>
      <c r="M1478" s="79"/>
      <c r="N1478" s="74"/>
      <c r="O1478" s="81" t="s">
        <v>1235</v>
      </c>
    </row>
    <row r="1479" spans="1:15" ht="15">
      <c r="A1479" s="66" t="s">
        <v>221</v>
      </c>
      <c r="B1479" s="66" t="s">
        <v>1127</v>
      </c>
      <c r="C1479" s="67"/>
      <c r="D1479" s="68"/>
      <c r="E1479" s="69"/>
      <c r="F1479" s="70"/>
      <c r="G1479" s="67"/>
      <c r="H1479" s="71"/>
      <c r="I1479" s="72"/>
      <c r="J1479" s="72"/>
      <c r="K1479" s="36"/>
      <c r="L1479" s="79">
        <v>1479</v>
      </c>
      <c r="M1479" s="79"/>
      <c r="N1479" s="74"/>
      <c r="O1479" s="81" t="s">
        <v>1235</v>
      </c>
    </row>
    <row r="1480" spans="1:15" ht="15">
      <c r="A1480" s="66" t="s">
        <v>224</v>
      </c>
      <c r="B1480" s="66" t="s">
        <v>1127</v>
      </c>
      <c r="C1480" s="67"/>
      <c r="D1480" s="68"/>
      <c r="E1480" s="69"/>
      <c r="F1480" s="70"/>
      <c r="G1480" s="67"/>
      <c r="H1480" s="71"/>
      <c r="I1480" s="72"/>
      <c r="J1480" s="72"/>
      <c r="K1480" s="36"/>
      <c r="L1480" s="79">
        <v>1480</v>
      </c>
      <c r="M1480" s="79"/>
      <c r="N1480" s="74"/>
      <c r="O1480" s="81" t="s">
        <v>1235</v>
      </c>
    </row>
    <row r="1481" spans="1:15" ht="15">
      <c r="A1481" s="66" t="s">
        <v>224</v>
      </c>
      <c r="B1481" s="66" t="s">
        <v>1128</v>
      </c>
      <c r="C1481" s="67"/>
      <c r="D1481" s="68"/>
      <c r="E1481" s="69"/>
      <c r="F1481" s="70"/>
      <c r="G1481" s="67"/>
      <c r="H1481" s="71"/>
      <c r="I1481" s="72"/>
      <c r="J1481" s="72"/>
      <c r="K1481" s="36"/>
      <c r="L1481" s="79">
        <v>1481</v>
      </c>
      <c r="M1481" s="79"/>
      <c r="N1481" s="74"/>
      <c r="O1481" s="81" t="s">
        <v>1235</v>
      </c>
    </row>
    <row r="1482" spans="1:15" ht="15">
      <c r="A1482" s="66" t="s">
        <v>225</v>
      </c>
      <c r="B1482" s="66" t="s">
        <v>1129</v>
      </c>
      <c r="C1482" s="67"/>
      <c r="D1482" s="68"/>
      <c r="E1482" s="69"/>
      <c r="F1482" s="70"/>
      <c r="G1482" s="67"/>
      <c r="H1482" s="71"/>
      <c r="I1482" s="72"/>
      <c r="J1482" s="72"/>
      <c r="K1482" s="36"/>
      <c r="L1482" s="79">
        <v>1482</v>
      </c>
      <c r="M1482" s="79"/>
      <c r="N1482" s="74"/>
      <c r="O1482" s="81" t="s">
        <v>1235</v>
      </c>
    </row>
    <row r="1483" spans="1:15" ht="15">
      <c r="A1483" s="66" t="s">
        <v>225</v>
      </c>
      <c r="B1483" s="66" t="s">
        <v>1130</v>
      </c>
      <c r="C1483" s="67"/>
      <c r="D1483" s="68"/>
      <c r="E1483" s="69"/>
      <c r="F1483" s="70"/>
      <c r="G1483" s="67"/>
      <c r="H1483" s="71"/>
      <c r="I1483" s="72"/>
      <c r="J1483" s="72"/>
      <c r="K1483" s="36"/>
      <c r="L1483" s="79">
        <v>1483</v>
      </c>
      <c r="M1483" s="79"/>
      <c r="N1483" s="74"/>
      <c r="O1483" s="81" t="s">
        <v>1235</v>
      </c>
    </row>
    <row r="1484" spans="1:15" ht="15">
      <c r="A1484" s="66" t="s">
        <v>225</v>
      </c>
      <c r="B1484" s="66" t="s">
        <v>1131</v>
      </c>
      <c r="C1484" s="67"/>
      <c r="D1484" s="68"/>
      <c r="E1484" s="69"/>
      <c r="F1484" s="70"/>
      <c r="G1484" s="67"/>
      <c r="H1484" s="71"/>
      <c r="I1484" s="72"/>
      <c r="J1484" s="72"/>
      <c r="K1484" s="36"/>
      <c r="L1484" s="79">
        <v>1484</v>
      </c>
      <c r="M1484" s="79"/>
      <c r="N1484" s="74"/>
      <c r="O1484" s="81" t="s">
        <v>1235</v>
      </c>
    </row>
    <row r="1485" spans="1:15" ht="15">
      <c r="A1485" s="66" t="s">
        <v>225</v>
      </c>
      <c r="B1485" s="66" t="s">
        <v>1132</v>
      </c>
      <c r="C1485" s="67"/>
      <c r="D1485" s="68"/>
      <c r="E1485" s="69"/>
      <c r="F1485" s="70"/>
      <c r="G1485" s="67"/>
      <c r="H1485" s="71"/>
      <c r="I1485" s="72"/>
      <c r="J1485" s="72"/>
      <c r="K1485" s="36"/>
      <c r="L1485" s="79">
        <v>1485</v>
      </c>
      <c r="M1485" s="79"/>
      <c r="N1485" s="74"/>
      <c r="O1485" s="81" t="s">
        <v>1235</v>
      </c>
    </row>
    <row r="1486" spans="1:15" ht="15">
      <c r="A1486" s="66" t="s">
        <v>215</v>
      </c>
      <c r="B1486" s="66" t="s">
        <v>989</v>
      </c>
      <c r="C1486" s="67"/>
      <c r="D1486" s="68"/>
      <c r="E1486" s="69"/>
      <c r="F1486" s="70"/>
      <c r="G1486" s="67"/>
      <c r="H1486" s="71"/>
      <c r="I1486" s="72"/>
      <c r="J1486" s="72"/>
      <c r="K1486" s="36"/>
      <c r="L1486" s="79">
        <v>1486</v>
      </c>
      <c r="M1486" s="79"/>
      <c r="N1486" s="74"/>
      <c r="O1486" s="81" t="s">
        <v>1235</v>
      </c>
    </row>
    <row r="1487" spans="1:15" ht="15">
      <c r="A1487" s="66" t="s">
        <v>220</v>
      </c>
      <c r="B1487" s="66" t="s">
        <v>989</v>
      </c>
      <c r="C1487" s="67"/>
      <c r="D1487" s="68"/>
      <c r="E1487" s="69"/>
      <c r="F1487" s="70"/>
      <c r="G1487" s="67"/>
      <c r="H1487" s="71"/>
      <c r="I1487" s="72"/>
      <c r="J1487" s="72"/>
      <c r="K1487" s="36"/>
      <c r="L1487" s="79">
        <v>1487</v>
      </c>
      <c r="M1487" s="79"/>
      <c r="N1487" s="74"/>
      <c r="O1487" s="81" t="s">
        <v>1235</v>
      </c>
    </row>
    <row r="1488" spans="1:15" ht="15">
      <c r="A1488" s="66" t="s">
        <v>225</v>
      </c>
      <c r="B1488" s="66" t="s">
        <v>989</v>
      </c>
      <c r="C1488" s="67"/>
      <c r="D1488" s="68"/>
      <c r="E1488" s="69"/>
      <c r="F1488" s="70"/>
      <c r="G1488" s="67"/>
      <c r="H1488" s="71"/>
      <c r="I1488" s="72"/>
      <c r="J1488" s="72"/>
      <c r="K1488" s="36"/>
      <c r="L1488" s="79">
        <v>1488</v>
      </c>
      <c r="M1488" s="79"/>
      <c r="N1488" s="74"/>
      <c r="O1488" s="81" t="s">
        <v>1235</v>
      </c>
    </row>
    <row r="1489" spans="1:15" ht="15">
      <c r="A1489" s="66" t="s">
        <v>225</v>
      </c>
      <c r="B1489" s="66" t="s">
        <v>1133</v>
      </c>
      <c r="C1489" s="67"/>
      <c r="D1489" s="68"/>
      <c r="E1489" s="69"/>
      <c r="F1489" s="70"/>
      <c r="G1489" s="67"/>
      <c r="H1489" s="71"/>
      <c r="I1489" s="72"/>
      <c r="J1489" s="72"/>
      <c r="K1489" s="36"/>
      <c r="L1489" s="79">
        <v>1489</v>
      </c>
      <c r="M1489" s="79"/>
      <c r="N1489" s="74"/>
      <c r="O1489" s="81" t="s">
        <v>1235</v>
      </c>
    </row>
    <row r="1490" spans="1:15" ht="15">
      <c r="A1490" s="66" t="s">
        <v>215</v>
      </c>
      <c r="B1490" s="66" t="s">
        <v>1134</v>
      </c>
      <c r="C1490" s="67"/>
      <c r="D1490" s="68"/>
      <c r="E1490" s="69"/>
      <c r="F1490" s="70"/>
      <c r="G1490" s="67"/>
      <c r="H1490" s="71"/>
      <c r="I1490" s="72"/>
      <c r="J1490" s="72"/>
      <c r="K1490" s="36"/>
      <c r="L1490" s="79">
        <v>1490</v>
      </c>
      <c r="M1490" s="79"/>
      <c r="N1490" s="74"/>
      <c r="O1490" s="81" t="s">
        <v>1235</v>
      </c>
    </row>
    <row r="1491" spans="1:15" ht="15">
      <c r="A1491" s="66" t="s">
        <v>225</v>
      </c>
      <c r="B1491" s="66" t="s">
        <v>1134</v>
      </c>
      <c r="C1491" s="67"/>
      <c r="D1491" s="68"/>
      <c r="E1491" s="69"/>
      <c r="F1491" s="70"/>
      <c r="G1491" s="67"/>
      <c r="H1491" s="71"/>
      <c r="I1491" s="72"/>
      <c r="J1491" s="72"/>
      <c r="K1491" s="36"/>
      <c r="L1491" s="79">
        <v>1491</v>
      </c>
      <c r="M1491" s="79"/>
      <c r="N1491" s="74"/>
      <c r="O1491" s="81" t="s">
        <v>1235</v>
      </c>
    </row>
    <row r="1492" spans="1:15" ht="15">
      <c r="A1492" s="66" t="s">
        <v>225</v>
      </c>
      <c r="B1492" s="66" t="s">
        <v>1135</v>
      </c>
      <c r="C1492" s="67"/>
      <c r="D1492" s="68"/>
      <c r="E1492" s="69"/>
      <c r="F1492" s="70"/>
      <c r="G1492" s="67"/>
      <c r="H1492" s="71"/>
      <c r="I1492" s="72"/>
      <c r="J1492" s="72"/>
      <c r="K1492" s="36"/>
      <c r="L1492" s="79">
        <v>1492</v>
      </c>
      <c r="M1492" s="79"/>
      <c r="N1492" s="74"/>
      <c r="O1492" s="81" t="s">
        <v>1235</v>
      </c>
    </row>
    <row r="1493" spans="1:15" ht="15">
      <c r="A1493" s="66" t="s">
        <v>225</v>
      </c>
      <c r="B1493" s="66" t="s">
        <v>1136</v>
      </c>
      <c r="C1493" s="67"/>
      <c r="D1493" s="68"/>
      <c r="E1493" s="69"/>
      <c r="F1493" s="70"/>
      <c r="G1493" s="67"/>
      <c r="H1493" s="71"/>
      <c r="I1493" s="72"/>
      <c r="J1493" s="72"/>
      <c r="K1493" s="36"/>
      <c r="L1493" s="79">
        <v>1493</v>
      </c>
      <c r="M1493" s="79"/>
      <c r="N1493" s="74"/>
      <c r="O1493" s="81" t="s">
        <v>1235</v>
      </c>
    </row>
    <row r="1494" spans="1:15" ht="15">
      <c r="A1494" s="66" t="s">
        <v>225</v>
      </c>
      <c r="B1494" s="66" t="s">
        <v>1137</v>
      </c>
      <c r="C1494" s="67"/>
      <c r="D1494" s="68"/>
      <c r="E1494" s="69"/>
      <c r="F1494" s="70"/>
      <c r="G1494" s="67"/>
      <c r="H1494" s="71"/>
      <c r="I1494" s="72"/>
      <c r="J1494" s="72"/>
      <c r="K1494" s="36"/>
      <c r="L1494" s="79">
        <v>1494</v>
      </c>
      <c r="M1494" s="79"/>
      <c r="N1494" s="74"/>
      <c r="O1494" s="81" t="s">
        <v>1235</v>
      </c>
    </row>
    <row r="1495" spans="1:15" ht="15">
      <c r="A1495" s="66" t="s">
        <v>225</v>
      </c>
      <c r="B1495" s="66" t="s">
        <v>1138</v>
      </c>
      <c r="C1495" s="67"/>
      <c r="D1495" s="68"/>
      <c r="E1495" s="69"/>
      <c r="F1495" s="70"/>
      <c r="G1495" s="67"/>
      <c r="H1495" s="71"/>
      <c r="I1495" s="72"/>
      <c r="J1495" s="72"/>
      <c r="K1495" s="36"/>
      <c r="L1495" s="79">
        <v>1495</v>
      </c>
      <c r="M1495" s="79"/>
      <c r="N1495" s="74"/>
      <c r="O1495" s="81" t="s">
        <v>1235</v>
      </c>
    </row>
    <row r="1496" spans="1:15" ht="15">
      <c r="A1496" s="66" t="s">
        <v>225</v>
      </c>
      <c r="B1496" s="66" t="s">
        <v>1139</v>
      </c>
      <c r="C1496" s="67"/>
      <c r="D1496" s="68"/>
      <c r="E1496" s="69"/>
      <c r="F1496" s="70"/>
      <c r="G1496" s="67"/>
      <c r="H1496" s="71"/>
      <c r="I1496" s="72"/>
      <c r="J1496" s="72"/>
      <c r="K1496" s="36"/>
      <c r="L1496" s="79">
        <v>1496</v>
      </c>
      <c r="M1496" s="79"/>
      <c r="N1496" s="74"/>
      <c r="O1496" s="81" t="s">
        <v>1235</v>
      </c>
    </row>
    <row r="1497" spans="1:15" ht="15">
      <c r="A1497" s="66" t="s">
        <v>225</v>
      </c>
      <c r="B1497" s="66" t="s">
        <v>1140</v>
      </c>
      <c r="C1497" s="67"/>
      <c r="D1497" s="68"/>
      <c r="E1497" s="69"/>
      <c r="F1497" s="70"/>
      <c r="G1497" s="67"/>
      <c r="H1497" s="71"/>
      <c r="I1497" s="72"/>
      <c r="J1497" s="72"/>
      <c r="K1497" s="36"/>
      <c r="L1497" s="79">
        <v>1497</v>
      </c>
      <c r="M1497" s="79"/>
      <c r="N1497" s="74"/>
      <c r="O1497" s="81" t="s">
        <v>1235</v>
      </c>
    </row>
    <row r="1498" spans="1:15" ht="15">
      <c r="A1498" s="66" t="s">
        <v>225</v>
      </c>
      <c r="B1498" s="66" t="s">
        <v>1141</v>
      </c>
      <c r="C1498" s="67"/>
      <c r="D1498" s="68"/>
      <c r="E1498" s="69"/>
      <c r="F1498" s="70"/>
      <c r="G1498" s="67"/>
      <c r="H1498" s="71"/>
      <c r="I1498" s="72"/>
      <c r="J1498" s="72"/>
      <c r="K1498" s="36"/>
      <c r="L1498" s="79">
        <v>1498</v>
      </c>
      <c r="M1498" s="79"/>
      <c r="N1498" s="74"/>
      <c r="O1498" s="81" t="s">
        <v>1235</v>
      </c>
    </row>
    <row r="1499" spans="1:15" ht="15">
      <c r="A1499" s="66" t="s">
        <v>225</v>
      </c>
      <c r="B1499" s="66" t="s">
        <v>1142</v>
      </c>
      <c r="C1499" s="67"/>
      <c r="D1499" s="68"/>
      <c r="E1499" s="69"/>
      <c r="F1499" s="70"/>
      <c r="G1499" s="67"/>
      <c r="H1499" s="71"/>
      <c r="I1499" s="72"/>
      <c r="J1499" s="72"/>
      <c r="K1499" s="36"/>
      <c r="L1499" s="79">
        <v>1499</v>
      </c>
      <c r="M1499" s="79"/>
      <c r="N1499" s="74"/>
      <c r="O1499" s="81" t="s">
        <v>1235</v>
      </c>
    </row>
    <row r="1500" spans="1:15" ht="15">
      <c r="A1500" s="66" t="s">
        <v>225</v>
      </c>
      <c r="B1500" s="66" t="s">
        <v>1143</v>
      </c>
      <c r="C1500" s="67"/>
      <c r="D1500" s="68"/>
      <c r="E1500" s="69"/>
      <c r="F1500" s="70"/>
      <c r="G1500" s="67"/>
      <c r="H1500" s="71"/>
      <c r="I1500" s="72"/>
      <c r="J1500" s="72"/>
      <c r="K1500" s="36"/>
      <c r="L1500" s="79">
        <v>1500</v>
      </c>
      <c r="M1500" s="79"/>
      <c r="N1500" s="74"/>
      <c r="O1500" s="81" t="s">
        <v>1235</v>
      </c>
    </row>
    <row r="1501" spans="1:15" ht="15">
      <c r="A1501" s="66" t="s">
        <v>225</v>
      </c>
      <c r="B1501" s="66" t="s">
        <v>1144</v>
      </c>
      <c r="C1501" s="67"/>
      <c r="D1501" s="68"/>
      <c r="E1501" s="69"/>
      <c r="F1501" s="70"/>
      <c r="G1501" s="67"/>
      <c r="H1501" s="71"/>
      <c r="I1501" s="72"/>
      <c r="J1501" s="72"/>
      <c r="K1501" s="36"/>
      <c r="L1501" s="79">
        <v>1501</v>
      </c>
      <c r="M1501" s="79"/>
      <c r="N1501" s="74"/>
      <c r="O1501" s="81" t="s">
        <v>1235</v>
      </c>
    </row>
    <row r="1502" spans="1:15" ht="15">
      <c r="A1502" s="66" t="s">
        <v>218</v>
      </c>
      <c r="B1502" s="66" t="s">
        <v>1145</v>
      </c>
      <c r="C1502" s="67"/>
      <c r="D1502" s="68"/>
      <c r="E1502" s="69"/>
      <c r="F1502" s="70"/>
      <c r="G1502" s="67"/>
      <c r="H1502" s="71"/>
      <c r="I1502" s="72"/>
      <c r="J1502" s="72"/>
      <c r="K1502" s="36"/>
      <c r="L1502" s="79">
        <v>1502</v>
      </c>
      <c r="M1502" s="79"/>
      <c r="N1502" s="74"/>
      <c r="O1502" s="81" t="s">
        <v>1235</v>
      </c>
    </row>
    <row r="1503" spans="1:15" ht="15">
      <c r="A1503" s="66" t="s">
        <v>223</v>
      </c>
      <c r="B1503" s="66" t="s">
        <v>1145</v>
      </c>
      <c r="C1503" s="67"/>
      <c r="D1503" s="68"/>
      <c r="E1503" s="69"/>
      <c r="F1503" s="70"/>
      <c r="G1503" s="67"/>
      <c r="H1503" s="71"/>
      <c r="I1503" s="72"/>
      <c r="J1503" s="72"/>
      <c r="K1503" s="36"/>
      <c r="L1503" s="79">
        <v>1503</v>
      </c>
      <c r="M1503" s="79"/>
      <c r="N1503" s="74"/>
      <c r="O1503" s="81" t="s">
        <v>1235</v>
      </c>
    </row>
    <row r="1504" spans="1:15" ht="15">
      <c r="A1504" s="66" t="s">
        <v>225</v>
      </c>
      <c r="B1504" s="66" t="s">
        <v>1145</v>
      </c>
      <c r="C1504" s="67"/>
      <c r="D1504" s="68"/>
      <c r="E1504" s="69"/>
      <c r="F1504" s="70"/>
      <c r="G1504" s="67"/>
      <c r="H1504" s="71"/>
      <c r="I1504" s="72"/>
      <c r="J1504" s="72"/>
      <c r="K1504" s="36"/>
      <c r="L1504" s="79">
        <v>1504</v>
      </c>
      <c r="M1504" s="79"/>
      <c r="N1504" s="74"/>
      <c r="O1504" s="81" t="s">
        <v>1235</v>
      </c>
    </row>
    <row r="1505" spans="1:15" ht="15">
      <c r="A1505" s="66" t="s">
        <v>225</v>
      </c>
      <c r="B1505" s="66" t="s">
        <v>1146</v>
      </c>
      <c r="C1505" s="67"/>
      <c r="D1505" s="68"/>
      <c r="E1505" s="69"/>
      <c r="F1505" s="70"/>
      <c r="G1505" s="67"/>
      <c r="H1505" s="71"/>
      <c r="I1505" s="72"/>
      <c r="J1505" s="72"/>
      <c r="K1505" s="36"/>
      <c r="L1505" s="79">
        <v>1505</v>
      </c>
      <c r="M1505" s="79"/>
      <c r="N1505" s="74"/>
      <c r="O1505" s="81" t="s">
        <v>1235</v>
      </c>
    </row>
    <row r="1506" spans="1:15" ht="15">
      <c r="A1506" s="66" t="s">
        <v>225</v>
      </c>
      <c r="B1506" s="66" t="s">
        <v>1147</v>
      </c>
      <c r="C1506" s="67"/>
      <c r="D1506" s="68"/>
      <c r="E1506" s="69"/>
      <c r="F1506" s="70"/>
      <c r="G1506" s="67"/>
      <c r="H1506" s="71"/>
      <c r="I1506" s="72"/>
      <c r="J1506" s="72"/>
      <c r="K1506" s="36"/>
      <c r="L1506" s="79">
        <v>1506</v>
      </c>
      <c r="M1506" s="79"/>
      <c r="N1506" s="74"/>
      <c r="O1506" s="81" t="s">
        <v>1235</v>
      </c>
    </row>
    <row r="1507" spans="1:15" ht="15">
      <c r="A1507" s="66" t="s">
        <v>225</v>
      </c>
      <c r="B1507" s="66" t="s">
        <v>1148</v>
      </c>
      <c r="C1507" s="67"/>
      <c r="D1507" s="68"/>
      <c r="E1507" s="69"/>
      <c r="F1507" s="70"/>
      <c r="G1507" s="67"/>
      <c r="H1507" s="71"/>
      <c r="I1507" s="72"/>
      <c r="J1507" s="72"/>
      <c r="K1507" s="36"/>
      <c r="L1507" s="79">
        <v>1507</v>
      </c>
      <c r="M1507" s="79"/>
      <c r="N1507" s="74"/>
      <c r="O1507" s="81" t="s">
        <v>1235</v>
      </c>
    </row>
    <row r="1508" spans="1:15" ht="15">
      <c r="A1508" s="66" t="s">
        <v>218</v>
      </c>
      <c r="B1508" s="66" t="s">
        <v>1149</v>
      </c>
      <c r="C1508" s="67"/>
      <c r="D1508" s="68"/>
      <c r="E1508" s="69"/>
      <c r="F1508" s="70"/>
      <c r="G1508" s="67"/>
      <c r="H1508" s="71"/>
      <c r="I1508" s="72"/>
      <c r="J1508" s="72"/>
      <c r="K1508" s="36"/>
      <c r="L1508" s="79">
        <v>1508</v>
      </c>
      <c r="M1508" s="79"/>
      <c r="N1508" s="74"/>
      <c r="O1508" s="81" t="s">
        <v>1235</v>
      </c>
    </row>
    <row r="1509" spans="1:15" ht="15">
      <c r="A1509" s="66" t="s">
        <v>225</v>
      </c>
      <c r="B1509" s="66" t="s">
        <v>1149</v>
      </c>
      <c r="C1509" s="67"/>
      <c r="D1509" s="68"/>
      <c r="E1509" s="69"/>
      <c r="F1509" s="70"/>
      <c r="G1509" s="67"/>
      <c r="H1509" s="71"/>
      <c r="I1509" s="72"/>
      <c r="J1509" s="72"/>
      <c r="K1509" s="36"/>
      <c r="L1509" s="79">
        <v>1509</v>
      </c>
      <c r="M1509" s="79"/>
      <c r="N1509" s="74"/>
      <c r="O1509" s="81" t="s">
        <v>1235</v>
      </c>
    </row>
    <row r="1510" spans="1:15" ht="15">
      <c r="A1510" s="66" t="s">
        <v>193</v>
      </c>
      <c r="B1510" s="66" t="s">
        <v>214</v>
      </c>
      <c r="C1510" s="67"/>
      <c r="D1510" s="68"/>
      <c r="E1510" s="69"/>
      <c r="F1510" s="70"/>
      <c r="G1510" s="67"/>
      <c r="H1510" s="71"/>
      <c r="I1510" s="72"/>
      <c r="J1510" s="72"/>
      <c r="K1510" s="36"/>
      <c r="L1510" s="79">
        <v>1510</v>
      </c>
      <c r="M1510" s="79"/>
      <c r="N1510" s="74"/>
      <c r="O1510" s="81" t="s">
        <v>1235</v>
      </c>
    </row>
    <row r="1511" spans="1:15" ht="15">
      <c r="A1511" s="66" t="s">
        <v>214</v>
      </c>
      <c r="B1511" s="66" t="s">
        <v>223</v>
      </c>
      <c r="C1511" s="67"/>
      <c r="D1511" s="68"/>
      <c r="E1511" s="69"/>
      <c r="F1511" s="70"/>
      <c r="G1511" s="67"/>
      <c r="H1511" s="71"/>
      <c r="I1511" s="72"/>
      <c r="J1511" s="72"/>
      <c r="K1511" s="36"/>
      <c r="L1511" s="79">
        <v>1511</v>
      </c>
      <c r="M1511" s="79"/>
      <c r="N1511" s="74"/>
      <c r="O1511" s="81" t="s">
        <v>1235</v>
      </c>
    </row>
    <row r="1512" spans="1:15" ht="15">
      <c r="A1512" s="66" t="s">
        <v>214</v>
      </c>
      <c r="B1512" s="66" t="s">
        <v>971</v>
      </c>
      <c r="C1512" s="67"/>
      <c r="D1512" s="68"/>
      <c r="E1512" s="69"/>
      <c r="F1512" s="70"/>
      <c r="G1512" s="67"/>
      <c r="H1512" s="71"/>
      <c r="I1512" s="72"/>
      <c r="J1512" s="72"/>
      <c r="K1512" s="36"/>
      <c r="L1512" s="79">
        <v>1512</v>
      </c>
      <c r="M1512" s="79"/>
      <c r="N1512" s="74"/>
      <c r="O1512" s="81" t="s">
        <v>1235</v>
      </c>
    </row>
    <row r="1513" spans="1:15" ht="15">
      <c r="A1513" s="66" t="s">
        <v>214</v>
      </c>
      <c r="B1513" s="66" t="s">
        <v>222</v>
      </c>
      <c r="C1513" s="67"/>
      <c r="D1513" s="68"/>
      <c r="E1513" s="69"/>
      <c r="F1513" s="70"/>
      <c r="G1513" s="67"/>
      <c r="H1513" s="71"/>
      <c r="I1513" s="72"/>
      <c r="J1513" s="72"/>
      <c r="K1513" s="36"/>
      <c r="L1513" s="79">
        <v>1513</v>
      </c>
      <c r="M1513" s="79"/>
      <c r="N1513" s="74"/>
      <c r="O1513" s="81" t="s">
        <v>1235</v>
      </c>
    </row>
    <row r="1514" spans="1:15" ht="15">
      <c r="A1514" s="66" t="s">
        <v>214</v>
      </c>
      <c r="B1514" s="66" t="s">
        <v>221</v>
      </c>
      <c r="C1514" s="67"/>
      <c r="D1514" s="68"/>
      <c r="E1514" s="69"/>
      <c r="F1514" s="70"/>
      <c r="G1514" s="67"/>
      <c r="H1514" s="71"/>
      <c r="I1514" s="72"/>
      <c r="J1514" s="72"/>
      <c r="K1514" s="36"/>
      <c r="L1514" s="79">
        <v>1514</v>
      </c>
      <c r="M1514" s="79"/>
      <c r="N1514" s="74"/>
      <c r="O1514" s="81" t="s">
        <v>1235</v>
      </c>
    </row>
    <row r="1515" spans="1:15" ht="15">
      <c r="A1515" s="66" t="s">
        <v>214</v>
      </c>
      <c r="B1515" s="66" t="s">
        <v>220</v>
      </c>
      <c r="C1515" s="67"/>
      <c r="D1515" s="68"/>
      <c r="E1515" s="69"/>
      <c r="F1515" s="70"/>
      <c r="G1515" s="67"/>
      <c r="H1515" s="71"/>
      <c r="I1515" s="72"/>
      <c r="J1515" s="72"/>
      <c r="K1515" s="36"/>
      <c r="L1515" s="79">
        <v>1515</v>
      </c>
      <c r="M1515" s="79"/>
      <c r="N1515" s="74"/>
      <c r="O1515" s="81" t="s">
        <v>1235</v>
      </c>
    </row>
    <row r="1516" spans="1:15" ht="15">
      <c r="A1516" s="66" t="s">
        <v>214</v>
      </c>
      <c r="B1516" s="66" t="s">
        <v>1150</v>
      </c>
      <c r="C1516" s="67"/>
      <c r="D1516" s="68"/>
      <c r="E1516" s="69"/>
      <c r="F1516" s="70"/>
      <c r="G1516" s="67"/>
      <c r="H1516" s="71"/>
      <c r="I1516" s="72"/>
      <c r="J1516" s="72"/>
      <c r="K1516" s="36"/>
      <c r="L1516" s="79">
        <v>1516</v>
      </c>
      <c r="M1516" s="79"/>
      <c r="N1516" s="74"/>
      <c r="O1516" s="81" t="s">
        <v>1235</v>
      </c>
    </row>
    <row r="1517" spans="1:15" ht="15">
      <c r="A1517" s="66" t="s">
        <v>214</v>
      </c>
      <c r="B1517" s="66" t="s">
        <v>225</v>
      </c>
      <c r="C1517" s="67"/>
      <c r="D1517" s="68"/>
      <c r="E1517" s="69"/>
      <c r="F1517" s="70"/>
      <c r="G1517" s="67"/>
      <c r="H1517" s="71"/>
      <c r="I1517" s="72"/>
      <c r="J1517" s="72"/>
      <c r="K1517" s="36"/>
      <c r="L1517" s="79">
        <v>1517</v>
      </c>
      <c r="M1517" s="79"/>
      <c r="N1517" s="74"/>
      <c r="O1517" s="81" t="s">
        <v>1235</v>
      </c>
    </row>
    <row r="1518" spans="1:15" ht="15">
      <c r="A1518" s="66" t="s">
        <v>214</v>
      </c>
      <c r="B1518" s="66" t="s">
        <v>1151</v>
      </c>
      <c r="C1518" s="67"/>
      <c r="D1518" s="68"/>
      <c r="E1518" s="69"/>
      <c r="F1518" s="70"/>
      <c r="G1518" s="67"/>
      <c r="H1518" s="71"/>
      <c r="I1518" s="72"/>
      <c r="J1518" s="72"/>
      <c r="K1518" s="36"/>
      <c r="L1518" s="79">
        <v>1518</v>
      </c>
      <c r="M1518" s="79"/>
      <c r="N1518" s="74"/>
      <c r="O1518" s="81" t="s">
        <v>1235</v>
      </c>
    </row>
    <row r="1519" spans="1:15" ht="15">
      <c r="A1519" s="66" t="s">
        <v>214</v>
      </c>
      <c r="B1519" s="66" t="s">
        <v>227</v>
      </c>
      <c r="C1519" s="67"/>
      <c r="D1519" s="68"/>
      <c r="E1519" s="69"/>
      <c r="F1519" s="70"/>
      <c r="G1519" s="67"/>
      <c r="H1519" s="71"/>
      <c r="I1519" s="72"/>
      <c r="J1519" s="72"/>
      <c r="K1519" s="36"/>
      <c r="L1519" s="79">
        <v>1519</v>
      </c>
      <c r="M1519" s="79"/>
      <c r="N1519" s="74"/>
      <c r="O1519" s="81" t="s">
        <v>1235</v>
      </c>
    </row>
    <row r="1520" spans="1:15" ht="15">
      <c r="A1520" s="66" t="s">
        <v>214</v>
      </c>
      <c r="B1520" s="66" t="s">
        <v>226</v>
      </c>
      <c r="C1520" s="67"/>
      <c r="D1520" s="68"/>
      <c r="E1520" s="69"/>
      <c r="F1520" s="70"/>
      <c r="G1520" s="67"/>
      <c r="H1520" s="71"/>
      <c r="I1520" s="72"/>
      <c r="J1520" s="72"/>
      <c r="K1520" s="36"/>
      <c r="L1520" s="79">
        <v>1520</v>
      </c>
      <c r="M1520" s="79"/>
      <c r="N1520" s="74"/>
      <c r="O1520" s="81" t="s">
        <v>1235</v>
      </c>
    </row>
    <row r="1521" spans="1:15" ht="15">
      <c r="A1521" s="66" t="s">
        <v>214</v>
      </c>
      <c r="B1521" s="66" t="s">
        <v>224</v>
      </c>
      <c r="C1521" s="67"/>
      <c r="D1521" s="68"/>
      <c r="E1521" s="69"/>
      <c r="F1521" s="70"/>
      <c r="G1521" s="67"/>
      <c r="H1521" s="71"/>
      <c r="I1521" s="72"/>
      <c r="J1521" s="72"/>
      <c r="K1521" s="36"/>
      <c r="L1521" s="79">
        <v>1521</v>
      </c>
      <c r="M1521" s="79"/>
      <c r="N1521" s="74"/>
      <c r="O1521" s="81" t="s">
        <v>1235</v>
      </c>
    </row>
    <row r="1522" spans="1:15" ht="15">
      <c r="A1522" s="66" t="s">
        <v>214</v>
      </c>
      <c r="B1522" s="66" t="s">
        <v>179</v>
      </c>
      <c r="C1522" s="67"/>
      <c r="D1522" s="68"/>
      <c r="E1522" s="69"/>
      <c r="F1522" s="70"/>
      <c r="G1522" s="67"/>
      <c r="H1522" s="71"/>
      <c r="I1522" s="72"/>
      <c r="J1522" s="72"/>
      <c r="K1522" s="36"/>
      <c r="L1522" s="79">
        <v>1522</v>
      </c>
      <c r="M1522" s="79"/>
      <c r="N1522" s="74"/>
      <c r="O1522" s="81" t="s">
        <v>1235</v>
      </c>
    </row>
    <row r="1523" spans="1:15" ht="15">
      <c r="A1523" s="66" t="s">
        <v>222</v>
      </c>
      <c r="B1523" s="66" t="s">
        <v>214</v>
      </c>
      <c r="C1523" s="67"/>
      <c r="D1523" s="68"/>
      <c r="E1523" s="69"/>
      <c r="F1523" s="70"/>
      <c r="G1523" s="67"/>
      <c r="H1523" s="71"/>
      <c r="I1523" s="72"/>
      <c r="J1523" s="72"/>
      <c r="K1523" s="36"/>
      <c r="L1523" s="79">
        <v>1523</v>
      </c>
      <c r="M1523" s="79"/>
      <c r="N1523" s="74"/>
      <c r="O1523" s="81" t="s">
        <v>1235</v>
      </c>
    </row>
    <row r="1524" spans="1:15" ht="15">
      <c r="A1524" s="66" t="s">
        <v>224</v>
      </c>
      <c r="B1524" s="66" t="s">
        <v>214</v>
      </c>
      <c r="C1524" s="67"/>
      <c r="D1524" s="68"/>
      <c r="E1524" s="69"/>
      <c r="F1524" s="70"/>
      <c r="G1524" s="67"/>
      <c r="H1524" s="71"/>
      <c r="I1524" s="72"/>
      <c r="J1524" s="72"/>
      <c r="K1524" s="36"/>
      <c r="L1524" s="79">
        <v>1524</v>
      </c>
      <c r="M1524" s="79"/>
      <c r="N1524" s="74"/>
      <c r="O1524" s="81" t="s">
        <v>1235</v>
      </c>
    </row>
    <row r="1525" spans="1:15" ht="15">
      <c r="A1525" s="66" t="s">
        <v>225</v>
      </c>
      <c r="B1525" s="66" t="s">
        <v>214</v>
      </c>
      <c r="C1525" s="67"/>
      <c r="D1525" s="68"/>
      <c r="E1525" s="69"/>
      <c r="F1525" s="70"/>
      <c r="G1525" s="67"/>
      <c r="H1525" s="71"/>
      <c r="I1525" s="72"/>
      <c r="J1525" s="72"/>
      <c r="K1525" s="36"/>
      <c r="L1525" s="79">
        <v>1525</v>
      </c>
      <c r="M1525" s="79"/>
      <c r="N1525" s="74"/>
      <c r="O1525" s="81" t="s">
        <v>1235</v>
      </c>
    </row>
    <row r="1526" spans="1:15" ht="15">
      <c r="A1526" s="66" t="s">
        <v>225</v>
      </c>
      <c r="B1526" s="66" t="s">
        <v>1152</v>
      </c>
      <c r="C1526" s="67"/>
      <c r="D1526" s="68"/>
      <c r="E1526" s="69"/>
      <c r="F1526" s="70"/>
      <c r="G1526" s="67"/>
      <c r="H1526" s="71"/>
      <c r="I1526" s="72"/>
      <c r="J1526" s="72"/>
      <c r="K1526" s="36"/>
      <c r="L1526" s="79">
        <v>1526</v>
      </c>
      <c r="M1526" s="79"/>
      <c r="N1526" s="74"/>
      <c r="O1526" s="81" t="s">
        <v>1235</v>
      </c>
    </row>
    <row r="1527" spans="1:15" ht="15">
      <c r="A1527" s="66" t="s">
        <v>225</v>
      </c>
      <c r="B1527" s="66" t="s">
        <v>1153</v>
      </c>
      <c r="C1527" s="67"/>
      <c r="D1527" s="68"/>
      <c r="E1527" s="69"/>
      <c r="F1527" s="70"/>
      <c r="G1527" s="67"/>
      <c r="H1527" s="71"/>
      <c r="I1527" s="72"/>
      <c r="J1527" s="72"/>
      <c r="K1527" s="36"/>
      <c r="L1527" s="79">
        <v>1527</v>
      </c>
      <c r="M1527" s="79"/>
      <c r="N1527" s="74"/>
      <c r="O1527" s="81" t="s">
        <v>1235</v>
      </c>
    </row>
    <row r="1528" spans="1:15" ht="15">
      <c r="A1528" s="66" t="s">
        <v>223</v>
      </c>
      <c r="B1528" s="66" t="s">
        <v>1150</v>
      </c>
      <c r="C1528" s="67"/>
      <c r="D1528" s="68"/>
      <c r="E1528" s="69"/>
      <c r="F1528" s="70"/>
      <c r="G1528" s="67"/>
      <c r="H1528" s="71"/>
      <c r="I1528" s="72"/>
      <c r="J1528" s="72"/>
      <c r="K1528" s="36"/>
      <c r="L1528" s="79">
        <v>1528</v>
      </c>
      <c r="M1528" s="79"/>
      <c r="N1528" s="74"/>
      <c r="O1528" s="81" t="s">
        <v>1235</v>
      </c>
    </row>
    <row r="1529" spans="1:15" ht="15">
      <c r="A1529" s="66" t="s">
        <v>225</v>
      </c>
      <c r="B1529" s="66" t="s">
        <v>1150</v>
      </c>
      <c r="C1529" s="67"/>
      <c r="D1529" s="68"/>
      <c r="E1529" s="69"/>
      <c r="F1529" s="70"/>
      <c r="G1529" s="67"/>
      <c r="H1529" s="71"/>
      <c r="I1529" s="72"/>
      <c r="J1529" s="72"/>
      <c r="K1529" s="36"/>
      <c r="L1529" s="79">
        <v>1529</v>
      </c>
      <c r="M1529" s="79"/>
      <c r="N1529" s="74"/>
      <c r="O1529" s="81" t="s">
        <v>1235</v>
      </c>
    </row>
    <row r="1530" spans="1:15" ht="15">
      <c r="A1530" s="66" t="s">
        <v>225</v>
      </c>
      <c r="B1530" s="66" t="s">
        <v>990</v>
      </c>
      <c r="C1530" s="67"/>
      <c r="D1530" s="68"/>
      <c r="E1530" s="69"/>
      <c r="F1530" s="70"/>
      <c r="G1530" s="67"/>
      <c r="H1530" s="71"/>
      <c r="I1530" s="72"/>
      <c r="J1530" s="72"/>
      <c r="K1530" s="36"/>
      <c r="L1530" s="79">
        <v>1530</v>
      </c>
      <c r="M1530" s="79"/>
      <c r="N1530" s="74"/>
      <c r="O1530" s="81" t="s">
        <v>1235</v>
      </c>
    </row>
    <row r="1531" spans="1:15" ht="15">
      <c r="A1531" s="66" t="s">
        <v>223</v>
      </c>
      <c r="B1531" s="66" t="s">
        <v>605</v>
      </c>
      <c r="C1531" s="67"/>
      <c r="D1531" s="68"/>
      <c r="E1531" s="69"/>
      <c r="F1531" s="70"/>
      <c r="G1531" s="67"/>
      <c r="H1531" s="71"/>
      <c r="I1531" s="72"/>
      <c r="J1531" s="72"/>
      <c r="K1531" s="36"/>
      <c r="L1531" s="79">
        <v>1531</v>
      </c>
      <c r="M1531" s="79"/>
      <c r="N1531" s="74"/>
      <c r="O1531" s="81" t="s">
        <v>1235</v>
      </c>
    </row>
    <row r="1532" spans="1:15" ht="15">
      <c r="A1532" s="66" t="s">
        <v>225</v>
      </c>
      <c r="B1532" s="66" t="s">
        <v>605</v>
      </c>
      <c r="C1532" s="67"/>
      <c r="D1532" s="68"/>
      <c r="E1532" s="69"/>
      <c r="F1532" s="70"/>
      <c r="G1532" s="67"/>
      <c r="H1532" s="71"/>
      <c r="I1532" s="72"/>
      <c r="J1532" s="72"/>
      <c r="K1532" s="36"/>
      <c r="L1532" s="79">
        <v>1532</v>
      </c>
      <c r="M1532" s="79"/>
      <c r="N1532" s="74"/>
      <c r="O1532" s="81" t="s">
        <v>1235</v>
      </c>
    </row>
    <row r="1533" spans="1:15" ht="15">
      <c r="A1533" s="66" t="s">
        <v>225</v>
      </c>
      <c r="B1533" s="66" t="s">
        <v>1154</v>
      </c>
      <c r="C1533" s="67"/>
      <c r="D1533" s="68"/>
      <c r="E1533" s="69"/>
      <c r="F1533" s="70"/>
      <c r="G1533" s="67"/>
      <c r="H1533" s="71"/>
      <c r="I1533" s="72"/>
      <c r="J1533" s="72"/>
      <c r="K1533" s="36"/>
      <c r="L1533" s="79">
        <v>1533</v>
      </c>
      <c r="M1533" s="79"/>
      <c r="N1533" s="74"/>
      <c r="O1533" s="81" t="s">
        <v>1235</v>
      </c>
    </row>
    <row r="1534" spans="1:15" ht="15">
      <c r="A1534" s="66" t="s">
        <v>225</v>
      </c>
      <c r="B1534" s="66" t="s">
        <v>1155</v>
      </c>
      <c r="C1534" s="67"/>
      <c r="D1534" s="68"/>
      <c r="E1534" s="69"/>
      <c r="F1534" s="70"/>
      <c r="G1534" s="67"/>
      <c r="H1534" s="71"/>
      <c r="I1534" s="72"/>
      <c r="J1534" s="72"/>
      <c r="K1534" s="36"/>
      <c r="L1534" s="79">
        <v>1534</v>
      </c>
      <c r="M1534" s="79"/>
      <c r="N1534" s="74"/>
      <c r="O1534" s="81" t="s">
        <v>1235</v>
      </c>
    </row>
    <row r="1535" spans="1:15" ht="15">
      <c r="A1535" s="66" t="s">
        <v>225</v>
      </c>
      <c r="B1535" s="66" t="s">
        <v>1156</v>
      </c>
      <c r="C1535" s="67"/>
      <c r="D1535" s="68"/>
      <c r="E1535" s="69"/>
      <c r="F1535" s="70"/>
      <c r="G1535" s="67"/>
      <c r="H1535" s="71"/>
      <c r="I1535" s="72"/>
      <c r="J1535" s="72"/>
      <c r="K1535" s="36"/>
      <c r="L1535" s="79">
        <v>1535</v>
      </c>
      <c r="M1535" s="79"/>
      <c r="N1535" s="74"/>
      <c r="O1535" s="81" t="s">
        <v>1235</v>
      </c>
    </row>
    <row r="1536" spans="1:15" ht="15">
      <c r="A1536" s="66" t="s">
        <v>225</v>
      </c>
      <c r="B1536" s="66" t="s">
        <v>1157</v>
      </c>
      <c r="C1536" s="67"/>
      <c r="D1536" s="68"/>
      <c r="E1536" s="69"/>
      <c r="F1536" s="70"/>
      <c r="G1536" s="67"/>
      <c r="H1536" s="71"/>
      <c r="I1536" s="72"/>
      <c r="J1536" s="72"/>
      <c r="K1536" s="36"/>
      <c r="L1536" s="79">
        <v>1536</v>
      </c>
      <c r="M1536" s="79"/>
      <c r="N1536" s="74"/>
      <c r="O1536" s="81" t="s">
        <v>1235</v>
      </c>
    </row>
    <row r="1537" spans="1:15" ht="15">
      <c r="A1537" s="66" t="s">
        <v>225</v>
      </c>
      <c r="B1537" s="66" t="s">
        <v>1158</v>
      </c>
      <c r="C1537" s="67"/>
      <c r="D1537" s="68"/>
      <c r="E1537" s="69"/>
      <c r="F1537" s="70"/>
      <c r="G1537" s="67"/>
      <c r="H1537" s="71"/>
      <c r="I1537" s="72"/>
      <c r="J1537" s="72"/>
      <c r="K1537" s="36"/>
      <c r="L1537" s="79">
        <v>1537</v>
      </c>
      <c r="M1537" s="79"/>
      <c r="N1537" s="74"/>
      <c r="O1537" s="81" t="s">
        <v>1235</v>
      </c>
    </row>
    <row r="1538" spans="1:15" ht="15">
      <c r="A1538" s="66" t="s">
        <v>225</v>
      </c>
      <c r="B1538" s="66" t="s">
        <v>1159</v>
      </c>
      <c r="C1538" s="67"/>
      <c r="D1538" s="68"/>
      <c r="E1538" s="69"/>
      <c r="F1538" s="70"/>
      <c r="G1538" s="67"/>
      <c r="H1538" s="71"/>
      <c r="I1538" s="72"/>
      <c r="J1538" s="72"/>
      <c r="K1538" s="36"/>
      <c r="L1538" s="79">
        <v>1538</v>
      </c>
      <c r="M1538" s="79"/>
      <c r="N1538" s="74"/>
      <c r="O1538" s="81" t="s">
        <v>1235</v>
      </c>
    </row>
    <row r="1539" spans="1:15" ht="15">
      <c r="A1539" s="66" t="s">
        <v>226</v>
      </c>
      <c r="B1539" s="66" t="s">
        <v>1160</v>
      </c>
      <c r="C1539" s="67"/>
      <c r="D1539" s="68"/>
      <c r="E1539" s="69"/>
      <c r="F1539" s="70"/>
      <c r="G1539" s="67"/>
      <c r="H1539" s="71"/>
      <c r="I1539" s="72"/>
      <c r="J1539" s="72"/>
      <c r="K1539" s="36"/>
      <c r="L1539" s="79">
        <v>1539</v>
      </c>
      <c r="M1539" s="79"/>
      <c r="N1539" s="74"/>
      <c r="O1539" s="81" t="s">
        <v>1235</v>
      </c>
    </row>
    <row r="1540" spans="1:15" ht="15">
      <c r="A1540" s="66" t="s">
        <v>226</v>
      </c>
      <c r="B1540" s="66" t="s">
        <v>1161</v>
      </c>
      <c r="C1540" s="67"/>
      <c r="D1540" s="68"/>
      <c r="E1540" s="69"/>
      <c r="F1540" s="70"/>
      <c r="G1540" s="67"/>
      <c r="H1540" s="71"/>
      <c r="I1540" s="72"/>
      <c r="J1540" s="72"/>
      <c r="K1540" s="36"/>
      <c r="L1540" s="79">
        <v>1540</v>
      </c>
      <c r="M1540" s="79"/>
      <c r="N1540" s="74"/>
      <c r="O1540" s="81" t="s">
        <v>1235</v>
      </c>
    </row>
    <row r="1541" spans="1:15" ht="15">
      <c r="A1541" s="66" t="s">
        <v>226</v>
      </c>
      <c r="B1541" s="66" t="s">
        <v>1162</v>
      </c>
      <c r="C1541" s="67"/>
      <c r="D1541" s="68"/>
      <c r="E1541" s="69"/>
      <c r="F1541" s="70"/>
      <c r="G1541" s="67"/>
      <c r="H1541" s="71"/>
      <c r="I1541" s="72"/>
      <c r="J1541" s="72"/>
      <c r="K1541" s="36"/>
      <c r="L1541" s="79">
        <v>1541</v>
      </c>
      <c r="M1541" s="79"/>
      <c r="N1541" s="74"/>
      <c r="O1541" s="81" t="s">
        <v>1235</v>
      </c>
    </row>
    <row r="1542" spans="1:15" ht="15">
      <c r="A1542" s="66" t="s">
        <v>226</v>
      </c>
      <c r="B1542" s="66" t="s">
        <v>1163</v>
      </c>
      <c r="C1542" s="67"/>
      <c r="D1542" s="68"/>
      <c r="E1542" s="69"/>
      <c r="F1542" s="70"/>
      <c r="G1542" s="67"/>
      <c r="H1542" s="71"/>
      <c r="I1542" s="72"/>
      <c r="J1542" s="72"/>
      <c r="K1542" s="36"/>
      <c r="L1542" s="79">
        <v>1542</v>
      </c>
      <c r="M1542" s="79"/>
      <c r="N1542" s="74"/>
      <c r="O1542" s="81" t="s">
        <v>1235</v>
      </c>
    </row>
    <row r="1543" spans="1:15" ht="15">
      <c r="A1543" s="66" t="s">
        <v>226</v>
      </c>
      <c r="B1543" s="66" t="s">
        <v>1164</v>
      </c>
      <c r="C1543" s="67"/>
      <c r="D1543" s="68"/>
      <c r="E1543" s="69"/>
      <c r="F1543" s="70"/>
      <c r="G1543" s="67"/>
      <c r="H1543" s="71"/>
      <c r="I1543" s="72"/>
      <c r="J1543" s="72"/>
      <c r="K1543" s="36"/>
      <c r="L1543" s="79">
        <v>1543</v>
      </c>
      <c r="M1543" s="79"/>
      <c r="N1543" s="74"/>
      <c r="O1543" s="81" t="s">
        <v>1235</v>
      </c>
    </row>
    <row r="1544" spans="1:15" ht="15">
      <c r="A1544" s="66" t="s">
        <v>226</v>
      </c>
      <c r="B1544" s="66" t="s">
        <v>1165</v>
      </c>
      <c r="C1544" s="67"/>
      <c r="D1544" s="68"/>
      <c r="E1544" s="69"/>
      <c r="F1544" s="70"/>
      <c r="G1544" s="67"/>
      <c r="H1544" s="71"/>
      <c r="I1544" s="72"/>
      <c r="J1544" s="72"/>
      <c r="K1544" s="36"/>
      <c r="L1544" s="79">
        <v>1544</v>
      </c>
      <c r="M1544" s="79"/>
      <c r="N1544" s="74"/>
      <c r="O1544" s="81" t="s">
        <v>1235</v>
      </c>
    </row>
    <row r="1545" spans="1:15" ht="15">
      <c r="A1545" s="66" t="s">
        <v>226</v>
      </c>
      <c r="B1545" s="66" t="s">
        <v>1166</v>
      </c>
      <c r="C1545" s="67"/>
      <c r="D1545" s="68"/>
      <c r="E1545" s="69"/>
      <c r="F1545" s="70"/>
      <c r="G1545" s="67"/>
      <c r="H1545" s="71"/>
      <c r="I1545" s="72"/>
      <c r="J1545" s="72"/>
      <c r="K1545" s="36"/>
      <c r="L1545" s="79">
        <v>1545</v>
      </c>
      <c r="M1545" s="79"/>
      <c r="N1545" s="74"/>
      <c r="O1545" s="81" t="s">
        <v>1235</v>
      </c>
    </row>
    <row r="1546" spans="1:15" ht="15">
      <c r="A1546" s="66" t="s">
        <v>226</v>
      </c>
      <c r="B1546" s="66" t="s">
        <v>1167</v>
      </c>
      <c r="C1546" s="67"/>
      <c r="D1546" s="68"/>
      <c r="E1546" s="69"/>
      <c r="F1546" s="70"/>
      <c r="G1546" s="67"/>
      <c r="H1546" s="71"/>
      <c r="I1546" s="72"/>
      <c r="J1546" s="72"/>
      <c r="K1546" s="36"/>
      <c r="L1546" s="79">
        <v>1546</v>
      </c>
      <c r="M1546" s="79"/>
      <c r="N1546" s="74"/>
      <c r="O1546" s="81" t="s">
        <v>1235</v>
      </c>
    </row>
    <row r="1547" spans="1:15" ht="15">
      <c r="A1547" s="66" t="s">
        <v>226</v>
      </c>
      <c r="B1547" s="66" t="s">
        <v>1168</v>
      </c>
      <c r="C1547" s="67"/>
      <c r="D1547" s="68"/>
      <c r="E1547" s="69"/>
      <c r="F1547" s="70"/>
      <c r="G1547" s="67"/>
      <c r="H1547" s="71"/>
      <c r="I1547" s="72"/>
      <c r="J1547" s="72"/>
      <c r="K1547" s="36"/>
      <c r="L1547" s="79">
        <v>1547</v>
      </c>
      <c r="M1547" s="79"/>
      <c r="N1547" s="74"/>
      <c r="O1547" s="81" t="s">
        <v>1235</v>
      </c>
    </row>
    <row r="1548" spans="1:15" ht="15">
      <c r="A1548" s="66" t="s">
        <v>226</v>
      </c>
      <c r="B1548" s="66" t="s">
        <v>1169</v>
      </c>
      <c r="C1548" s="67"/>
      <c r="D1548" s="68"/>
      <c r="E1548" s="69"/>
      <c r="F1548" s="70"/>
      <c r="G1548" s="67"/>
      <c r="H1548" s="71"/>
      <c r="I1548" s="72"/>
      <c r="J1548" s="72"/>
      <c r="K1548" s="36"/>
      <c r="L1548" s="79">
        <v>1548</v>
      </c>
      <c r="M1548" s="79"/>
      <c r="N1548" s="74"/>
      <c r="O1548" s="81" t="s">
        <v>1235</v>
      </c>
    </row>
    <row r="1549" spans="1:15" ht="15">
      <c r="A1549" s="66" t="s">
        <v>226</v>
      </c>
      <c r="B1549" s="66" t="s">
        <v>1170</v>
      </c>
      <c r="C1549" s="67"/>
      <c r="D1549" s="68"/>
      <c r="E1549" s="69"/>
      <c r="F1549" s="70"/>
      <c r="G1549" s="67"/>
      <c r="H1549" s="71"/>
      <c r="I1549" s="72"/>
      <c r="J1549" s="72"/>
      <c r="K1549" s="36"/>
      <c r="L1549" s="79">
        <v>1549</v>
      </c>
      <c r="M1549" s="79"/>
      <c r="N1549" s="74"/>
      <c r="O1549" s="81" t="s">
        <v>1235</v>
      </c>
    </row>
    <row r="1550" spans="1:15" ht="15">
      <c r="A1550" s="66" t="s">
        <v>226</v>
      </c>
      <c r="B1550" s="66" t="s">
        <v>1171</v>
      </c>
      <c r="C1550" s="67"/>
      <c r="D1550" s="68"/>
      <c r="E1550" s="69"/>
      <c r="F1550" s="70"/>
      <c r="G1550" s="67"/>
      <c r="H1550" s="71"/>
      <c r="I1550" s="72"/>
      <c r="J1550" s="72"/>
      <c r="K1550" s="36"/>
      <c r="L1550" s="79">
        <v>1550</v>
      </c>
      <c r="M1550" s="79"/>
      <c r="N1550" s="74"/>
      <c r="O1550" s="81" t="s">
        <v>1235</v>
      </c>
    </row>
    <row r="1551" spans="1:15" ht="15">
      <c r="A1551" s="66" t="s">
        <v>226</v>
      </c>
      <c r="B1551" s="66" t="s">
        <v>1172</v>
      </c>
      <c r="C1551" s="67"/>
      <c r="D1551" s="68"/>
      <c r="E1551" s="69"/>
      <c r="F1551" s="70"/>
      <c r="G1551" s="67"/>
      <c r="H1551" s="71"/>
      <c r="I1551" s="72"/>
      <c r="J1551" s="72"/>
      <c r="K1551" s="36"/>
      <c r="L1551" s="79">
        <v>1551</v>
      </c>
      <c r="M1551" s="79"/>
      <c r="N1551" s="74"/>
      <c r="O1551" s="81" t="s">
        <v>1235</v>
      </c>
    </row>
    <row r="1552" spans="1:15" ht="15">
      <c r="A1552" s="66" t="s">
        <v>226</v>
      </c>
      <c r="B1552" s="66" t="s">
        <v>1173</v>
      </c>
      <c r="C1552" s="67"/>
      <c r="D1552" s="68"/>
      <c r="E1552" s="69"/>
      <c r="F1552" s="70"/>
      <c r="G1552" s="67"/>
      <c r="H1552" s="71"/>
      <c r="I1552" s="72"/>
      <c r="J1552" s="72"/>
      <c r="K1552" s="36"/>
      <c r="L1552" s="79">
        <v>1552</v>
      </c>
      <c r="M1552" s="79"/>
      <c r="N1552" s="74"/>
      <c r="O1552" s="81" t="s">
        <v>1235</v>
      </c>
    </row>
    <row r="1553" spans="1:15" ht="15">
      <c r="A1553" s="66" t="s">
        <v>226</v>
      </c>
      <c r="B1553" s="66" t="s">
        <v>1174</v>
      </c>
      <c r="C1553" s="67"/>
      <c r="D1553" s="68"/>
      <c r="E1553" s="69"/>
      <c r="F1553" s="70"/>
      <c r="G1553" s="67"/>
      <c r="H1553" s="71"/>
      <c r="I1553" s="72"/>
      <c r="J1553" s="72"/>
      <c r="K1553" s="36"/>
      <c r="L1553" s="79">
        <v>1553</v>
      </c>
      <c r="M1553" s="79"/>
      <c r="N1553" s="74"/>
      <c r="O1553" s="81" t="s">
        <v>1235</v>
      </c>
    </row>
    <row r="1554" spans="1:15" ht="15">
      <c r="A1554" s="66" t="s">
        <v>226</v>
      </c>
      <c r="B1554" s="66" t="s">
        <v>1175</v>
      </c>
      <c r="C1554" s="67"/>
      <c r="D1554" s="68"/>
      <c r="E1554" s="69"/>
      <c r="F1554" s="70"/>
      <c r="G1554" s="67"/>
      <c r="H1554" s="71"/>
      <c r="I1554" s="72"/>
      <c r="J1554" s="72"/>
      <c r="K1554" s="36"/>
      <c r="L1554" s="79">
        <v>1554</v>
      </c>
      <c r="M1554" s="79"/>
      <c r="N1554" s="74"/>
      <c r="O1554" s="81" t="s">
        <v>1235</v>
      </c>
    </row>
    <row r="1555" spans="1:15" ht="15">
      <c r="A1555" s="66" t="s">
        <v>226</v>
      </c>
      <c r="B1555" s="66" t="s">
        <v>1176</v>
      </c>
      <c r="C1555" s="67"/>
      <c r="D1555" s="68"/>
      <c r="E1555" s="69"/>
      <c r="F1555" s="70"/>
      <c r="G1555" s="67"/>
      <c r="H1555" s="71"/>
      <c r="I1555" s="72"/>
      <c r="J1555" s="72"/>
      <c r="K1555" s="36"/>
      <c r="L1555" s="79">
        <v>1555</v>
      </c>
      <c r="M1555" s="79"/>
      <c r="N1555" s="74"/>
      <c r="O1555" s="81" t="s">
        <v>1235</v>
      </c>
    </row>
    <row r="1556" spans="1:15" ht="15">
      <c r="A1556" s="66" t="s">
        <v>226</v>
      </c>
      <c r="B1556" s="66" t="s">
        <v>1177</v>
      </c>
      <c r="C1556" s="67"/>
      <c r="D1556" s="68"/>
      <c r="E1556" s="69"/>
      <c r="F1556" s="70"/>
      <c r="G1556" s="67"/>
      <c r="H1556" s="71"/>
      <c r="I1556" s="72"/>
      <c r="J1556" s="72"/>
      <c r="K1556" s="36"/>
      <c r="L1556" s="79">
        <v>1556</v>
      </c>
      <c r="M1556" s="79"/>
      <c r="N1556" s="74"/>
      <c r="O1556" s="81" t="s">
        <v>1235</v>
      </c>
    </row>
    <row r="1557" spans="1:15" ht="15">
      <c r="A1557" s="66" t="s">
        <v>226</v>
      </c>
      <c r="B1557" s="66" t="s">
        <v>1178</v>
      </c>
      <c r="C1557" s="67"/>
      <c r="D1557" s="68"/>
      <c r="E1557" s="69"/>
      <c r="F1557" s="70"/>
      <c r="G1557" s="67"/>
      <c r="H1557" s="71"/>
      <c r="I1557" s="72"/>
      <c r="J1557" s="72"/>
      <c r="K1557" s="36"/>
      <c r="L1557" s="79">
        <v>1557</v>
      </c>
      <c r="M1557" s="79"/>
      <c r="N1557" s="74"/>
      <c r="O1557" s="81" t="s">
        <v>1235</v>
      </c>
    </row>
    <row r="1558" spans="1:15" ht="15">
      <c r="A1558" s="66" t="s">
        <v>226</v>
      </c>
      <c r="B1558" s="66" t="s">
        <v>1179</v>
      </c>
      <c r="C1558" s="67"/>
      <c r="D1558" s="68"/>
      <c r="E1558" s="69"/>
      <c r="F1558" s="70"/>
      <c r="G1558" s="67"/>
      <c r="H1558" s="71"/>
      <c r="I1558" s="72"/>
      <c r="J1558" s="72"/>
      <c r="K1558" s="36"/>
      <c r="L1558" s="79">
        <v>1558</v>
      </c>
      <c r="M1558" s="79"/>
      <c r="N1558" s="74"/>
      <c r="O1558" s="81" t="s">
        <v>1235</v>
      </c>
    </row>
    <row r="1559" spans="1:15" ht="15">
      <c r="A1559" s="66" t="s">
        <v>226</v>
      </c>
      <c r="B1559" s="66" t="s">
        <v>1180</v>
      </c>
      <c r="C1559" s="67"/>
      <c r="D1559" s="68"/>
      <c r="E1559" s="69"/>
      <c r="F1559" s="70"/>
      <c r="G1559" s="67"/>
      <c r="H1559" s="71"/>
      <c r="I1559" s="72"/>
      <c r="J1559" s="72"/>
      <c r="K1559" s="36"/>
      <c r="L1559" s="79">
        <v>1559</v>
      </c>
      <c r="M1559" s="79"/>
      <c r="N1559" s="74"/>
      <c r="O1559" s="81" t="s">
        <v>1235</v>
      </c>
    </row>
    <row r="1560" spans="1:15" ht="15">
      <c r="A1560" s="66" t="s">
        <v>226</v>
      </c>
      <c r="B1560" s="66" t="s">
        <v>1181</v>
      </c>
      <c r="C1560" s="67"/>
      <c r="D1560" s="68"/>
      <c r="E1560" s="69"/>
      <c r="F1560" s="70"/>
      <c r="G1560" s="67"/>
      <c r="H1560" s="71"/>
      <c r="I1560" s="72"/>
      <c r="J1560" s="72"/>
      <c r="K1560" s="36"/>
      <c r="L1560" s="79">
        <v>1560</v>
      </c>
      <c r="M1560" s="79"/>
      <c r="N1560" s="74"/>
      <c r="O1560" s="81" t="s">
        <v>1235</v>
      </c>
    </row>
    <row r="1561" spans="1:15" ht="15">
      <c r="A1561" s="66" t="s">
        <v>226</v>
      </c>
      <c r="B1561" s="66" t="s">
        <v>1182</v>
      </c>
      <c r="C1561" s="67"/>
      <c r="D1561" s="68"/>
      <c r="E1561" s="69"/>
      <c r="F1561" s="70"/>
      <c r="G1561" s="67"/>
      <c r="H1561" s="71"/>
      <c r="I1561" s="72"/>
      <c r="J1561" s="72"/>
      <c r="K1561" s="36"/>
      <c r="L1561" s="79">
        <v>1561</v>
      </c>
      <c r="M1561" s="79"/>
      <c r="N1561" s="74"/>
      <c r="O1561" s="81" t="s">
        <v>1235</v>
      </c>
    </row>
    <row r="1562" spans="1:15" ht="15">
      <c r="A1562" s="66" t="s">
        <v>226</v>
      </c>
      <c r="B1562" s="66" t="s">
        <v>1183</v>
      </c>
      <c r="C1562" s="67"/>
      <c r="D1562" s="68"/>
      <c r="E1562" s="69"/>
      <c r="F1562" s="70"/>
      <c r="G1562" s="67"/>
      <c r="H1562" s="71"/>
      <c r="I1562" s="72"/>
      <c r="J1562" s="72"/>
      <c r="K1562" s="36"/>
      <c r="L1562" s="79">
        <v>1562</v>
      </c>
      <c r="M1562" s="79"/>
      <c r="N1562" s="74"/>
      <c r="O1562" s="81" t="s">
        <v>1235</v>
      </c>
    </row>
    <row r="1563" spans="1:15" ht="15">
      <c r="A1563" s="66" t="s">
        <v>226</v>
      </c>
      <c r="B1563" s="66" t="s">
        <v>1184</v>
      </c>
      <c r="C1563" s="67"/>
      <c r="D1563" s="68"/>
      <c r="E1563" s="69"/>
      <c r="F1563" s="70"/>
      <c r="G1563" s="67"/>
      <c r="H1563" s="71"/>
      <c r="I1563" s="72"/>
      <c r="J1563" s="72"/>
      <c r="K1563" s="36"/>
      <c r="L1563" s="79">
        <v>1563</v>
      </c>
      <c r="M1563" s="79"/>
      <c r="N1563" s="74"/>
      <c r="O1563" s="81" t="s">
        <v>1235</v>
      </c>
    </row>
    <row r="1564" spans="1:15" ht="15">
      <c r="A1564" s="66" t="s">
        <v>226</v>
      </c>
      <c r="B1564" s="66" t="s">
        <v>1185</v>
      </c>
      <c r="C1564" s="67"/>
      <c r="D1564" s="68"/>
      <c r="E1564" s="69"/>
      <c r="F1564" s="70"/>
      <c r="G1564" s="67"/>
      <c r="H1564" s="71"/>
      <c r="I1564" s="72"/>
      <c r="J1564" s="72"/>
      <c r="K1564" s="36"/>
      <c r="L1564" s="79">
        <v>1564</v>
      </c>
      <c r="M1564" s="79"/>
      <c r="N1564" s="74"/>
      <c r="O1564" s="81" t="s">
        <v>1235</v>
      </c>
    </row>
    <row r="1565" spans="1:15" ht="15">
      <c r="A1565" s="66" t="s">
        <v>226</v>
      </c>
      <c r="B1565" s="66" t="s">
        <v>1186</v>
      </c>
      <c r="C1565" s="67"/>
      <c r="D1565" s="68"/>
      <c r="E1565" s="69"/>
      <c r="F1565" s="70"/>
      <c r="G1565" s="67"/>
      <c r="H1565" s="71"/>
      <c r="I1565" s="72"/>
      <c r="J1565" s="72"/>
      <c r="K1565" s="36"/>
      <c r="L1565" s="79">
        <v>1565</v>
      </c>
      <c r="M1565" s="79"/>
      <c r="N1565" s="74"/>
      <c r="O1565" s="81" t="s">
        <v>1235</v>
      </c>
    </row>
    <row r="1566" spans="1:15" ht="15">
      <c r="A1566" s="66" t="s">
        <v>226</v>
      </c>
      <c r="B1566" s="66" t="s">
        <v>1187</v>
      </c>
      <c r="C1566" s="67"/>
      <c r="D1566" s="68"/>
      <c r="E1566" s="69"/>
      <c r="F1566" s="70"/>
      <c r="G1566" s="67"/>
      <c r="H1566" s="71"/>
      <c r="I1566" s="72"/>
      <c r="J1566" s="72"/>
      <c r="K1566" s="36"/>
      <c r="L1566" s="79">
        <v>1566</v>
      </c>
      <c r="M1566" s="79"/>
      <c r="N1566" s="74"/>
      <c r="O1566" s="81" t="s">
        <v>1235</v>
      </c>
    </row>
    <row r="1567" spans="1:15" ht="15">
      <c r="A1567" s="66" t="s">
        <v>226</v>
      </c>
      <c r="B1567" s="66" t="s">
        <v>1188</v>
      </c>
      <c r="C1567" s="67"/>
      <c r="D1567" s="68"/>
      <c r="E1567" s="69"/>
      <c r="F1567" s="70"/>
      <c r="G1567" s="67"/>
      <c r="H1567" s="71"/>
      <c r="I1567" s="72"/>
      <c r="J1567" s="72"/>
      <c r="K1567" s="36"/>
      <c r="L1567" s="79">
        <v>1567</v>
      </c>
      <c r="M1567" s="79"/>
      <c r="N1567" s="74"/>
      <c r="O1567" s="81" t="s">
        <v>1235</v>
      </c>
    </row>
    <row r="1568" spans="1:15" ht="15">
      <c r="A1568" s="66" t="s">
        <v>226</v>
      </c>
      <c r="B1568" s="66" t="s">
        <v>1189</v>
      </c>
      <c r="C1568" s="67"/>
      <c r="D1568" s="68"/>
      <c r="E1568" s="69"/>
      <c r="F1568" s="70"/>
      <c r="G1568" s="67"/>
      <c r="H1568" s="71"/>
      <c r="I1568" s="72"/>
      <c r="J1568" s="72"/>
      <c r="K1568" s="36"/>
      <c r="L1568" s="79">
        <v>1568</v>
      </c>
      <c r="M1568" s="79"/>
      <c r="N1568" s="74"/>
      <c r="O1568" s="81" t="s">
        <v>1235</v>
      </c>
    </row>
    <row r="1569" spans="1:15" ht="15">
      <c r="A1569" s="66" t="s">
        <v>226</v>
      </c>
      <c r="B1569" s="66" t="s">
        <v>1190</v>
      </c>
      <c r="C1569" s="67"/>
      <c r="D1569" s="68"/>
      <c r="E1569" s="69"/>
      <c r="F1569" s="70"/>
      <c r="G1569" s="67"/>
      <c r="H1569" s="71"/>
      <c r="I1569" s="72"/>
      <c r="J1569" s="72"/>
      <c r="K1569" s="36"/>
      <c r="L1569" s="79">
        <v>1569</v>
      </c>
      <c r="M1569" s="79"/>
      <c r="N1569" s="74"/>
      <c r="O1569" s="81" t="s">
        <v>1235</v>
      </c>
    </row>
    <row r="1570" spans="1:15" ht="15">
      <c r="A1570" s="66" t="s">
        <v>223</v>
      </c>
      <c r="B1570" s="66" t="s">
        <v>1191</v>
      </c>
      <c r="C1570" s="67"/>
      <c r="D1570" s="68"/>
      <c r="E1570" s="69"/>
      <c r="F1570" s="70"/>
      <c r="G1570" s="67"/>
      <c r="H1570" s="71"/>
      <c r="I1570" s="72"/>
      <c r="J1570" s="72"/>
      <c r="K1570" s="36"/>
      <c r="L1570" s="79">
        <v>1570</v>
      </c>
      <c r="M1570" s="79"/>
      <c r="N1570" s="74"/>
      <c r="O1570" s="81" t="s">
        <v>1235</v>
      </c>
    </row>
    <row r="1571" spans="1:15" ht="15">
      <c r="A1571" s="66" t="s">
        <v>226</v>
      </c>
      <c r="B1571" s="66" t="s">
        <v>1191</v>
      </c>
      <c r="C1571" s="67"/>
      <c r="D1571" s="68"/>
      <c r="E1571" s="69"/>
      <c r="F1571" s="70"/>
      <c r="G1571" s="67"/>
      <c r="H1571" s="71"/>
      <c r="I1571" s="72"/>
      <c r="J1571" s="72"/>
      <c r="K1571" s="36"/>
      <c r="L1571" s="79">
        <v>1571</v>
      </c>
      <c r="M1571" s="79"/>
      <c r="N1571" s="74"/>
      <c r="O1571" s="81" t="s">
        <v>1235</v>
      </c>
    </row>
    <row r="1572" spans="1:15" ht="15">
      <c r="A1572" s="66" t="s">
        <v>226</v>
      </c>
      <c r="B1572" s="66" t="s">
        <v>1192</v>
      </c>
      <c r="C1572" s="67"/>
      <c r="D1572" s="68"/>
      <c r="E1572" s="69"/>
      <c r="F1572" s="70"/>
      <c r="G1572" s="67"/>
      <c r="H1572" s="71"/>
      <c r="I1572" s="72"/>
      <c r="J1572" s="72"/>
      <c r="K1572" s="36"/>
      <c r="L1572" s="79">
        <v>1572</v>
      </c>
      <c r="M1572" s="79"/>
      <c r="N1572" s="74"/>
      <c r="O1572" s="81" t="s">
        <v>1235</v>
      </c>
    </row>
    <row r="1573" spans="1:15" ht="15">
      <c r="A1573" s="66" t="s">
        <v>226</v>
      </c>
      <c r="B1573" s="66" t="s">
        <v>1193</v>
      </c>
      <c r="C1573" s="67"/>
      <c r="D1573" s="68"/>
      <c r="E1573" s="69"/>
      <c r="F1573" s="70"/>
      <c r="G1573" s="67"/>
      <c r="H1573" s="71"/>
      <c r="I1573" s="72"/>
      <c r="J1573" s="72"/>
      <c r="K1573" s="36"/>
      <c r="L1573" s="79">
        <v>1573</v>
      </c>
      <c r="M1573" s="79"/>
      <c r="N1573" s="74"/>
      <c r="O1573" s="81" t="s">
        <v>1235</v>
      </c>
    </row>
    <row r="1574" spans="1:15" ht="15">
      <c r="A1574" s="66" t="s">
        <v>226</v>
      </c>
      <c r="B1574" s="66" t="s">
        <v>1194</v>
      </c>
      <c r="C1574" s="67"/>
      <c r="D1574" s="68"/>
      <c r="E1574" s="69"/>
      <c r="F1574" s="70"/>
      <c r="G1574" s="67"/>
      <c r="H1574" s="71"/>
      <c r="I1574" s="72"/>
      <c r="J1574" s="72"/>
      <c r="K1574" s="36"/>
      <c r="L1574" s="79">
        <v>1574</v>
      </c>
      <c r="M1574" s="79"/>
      <c r="N1574" s="74"/>
      <c r="O1574" s="81" t="s">
        <v>1235</v>
      </c>
    </row>
    <row r="1575" spans="1:15" ht="15">
      <c r="A1575" s="66" t="s">
        <v>226</v>
      </c>
      <c r="B1575" s="66" t="s">
        <v>1195</v>
      </c>
      <c r="C1575" s="67"/>
      <c r="D1575" s="68"/>
      <c r="E1575" s="69"/>
      <c r="F1575" s="70"/>
      <c r="G1575" s="67"/>
      <c r="H1575" s="71"/>
      <c r="I1575" s="72"/>
      <c r="J1575" s="72"/>
      <c r="K1575" s="36"/>
      <c r="L1575" s="79">
        <v>1575</v>
      </c>
      <c r="M1575" s="79"/>
      <c r="N1575" s="74"/>
      <c r="O1575" s="81" t="s">
        <v>1235</v>
      </c>
    </row>
    <row r="1576" spans="1:15" ht="15">
      <c r="A1576" s="66" t="s">
        <v>226</v>
      </c>
      <c r="B1576" s="66" t="s">
        <v>1196</v>
      </c>
      <c r="C1576" s="67"/>
      <c r="D1576" s="68"/>
      <c r="E1576" s="69"/>
      <c r="F1576" s="70"/>
      <c r="G1576" s="67"/>
      <c r="H1576" s="71"/>
      <c r="I1576" s="72"/>
      <c r="J1576" s="72"/>
      <c r="K1576" s="36"/>
      <c r="L1576" s="79">
        <v>1576</v>
      </c>
      <c r="M1576" s="79"/>
      <c r="N1576" s="74"/>
      <c r="O1576" s="81" t="s">
        <v>1235</v>
      </c>
    </row>
    <row r="1577" spans="1:15" ht="15">
      <c r="A1577" s="66" t="s">
        <v>226</v>
      </c>
      <c r="B1577" s="66" t="s">
        <v>1197</v>
      </c>
      <c r="C1577" s="67"/>
      <c r="D1577" s="68"/>
      <c r="E1577" s="69"/>
      <c r="F1577" s="70"/>
      <c r="G1577" s="67"/>
      <c r="H1577" s="71"/>
      <c r="I1577" s="72"/>
      <c r="J1577" s="72"/>
      <c r="K1577" s="36"/>
      <c r="L1577" s="79">
        <v>1577</v>
      </c>
      <c r="M1577" s="79"/>
      <c r="N1577" s="74"/>
      <c r="O1577" s="81" t="s">
        <v>1235</v>
      </c>
    </row>
    <row r="1578" spans="1:15" ht="15">
      <c r="A1578" s="66" t="s">
        <v>226</v>
      </c>
      <c r="B1578" s="66" t="s">
        <v>1198</v>
      </c>
      <c r="C1578" s="67"/>
      <c r="D1578" s="68"/>
      <c r="E1578" s="69"/>
      <c r="F1578" s="70"/>
      <c r="G1578" s="67"/>
      <c r="H1578" s="71"/>
      <c r="I1578" s="72"/>
      <c r="J1578" s="72"/>
      <c r="K1578" s="36"/>
      <c r="L1578" s="79">
        <v>1578</v>
      </c>
      <c r="M1578" s="79"/>
      <c r="N1578" s="74"/>
      <c r="O1578" s="81" t="s">
        <v>1235</v>
      </c>
    </row>
    <row r="1579" spans="1:15" ht="15">
      <c r="A1579" s="66" t="s">
        <v>226</v>
      </c>
      <c r="B1579" s="66" t="s">
        <v>1199</v>
      </c>
      <c r="C1579" s="67"/>
      <c r="D1579" s="68"/>
      <c r="E1579" s="69"/>
      <c r="F1579" s="70"/>
      <c r="G1579" s="67"/>
      <c r="H1579" s="71"/>
      <c r="I1579" s="72"/>
      <c r="J1579" s="72"/>
      <c r="K1579" s="36"/>
      <c r="L1579" s="79">
        <v>1579</v>
      </c>
      <c r="M1579" s="79"/>
      <c r="N1579" s="74"/>
      <c r="O1579" s="81" t="s">
        <v>1235</v>
      </c>
    </row>
    <row r="1580" spans="1:15" ht="15">
      <c r="A1580" s="66" t="s">
        <v>226</v>
      </c>
      <c r="B1580" s="66" t="s">
        <v>1200</v>
      </c>
      <c r="C1580" s="67"/>
      <c r="D1580" s="68"/>
      <c r="E1580" s="69"/>
      <c r="F1580" s="70"/>
      <c r="G1580" s="67"/>
      <c r="H1580" s="71"/>
      <c r="I1580" s="72"/>
      <c r="J1580" s="72"/>
      <c r="K1580" s="36"/>
      <c r="L1580" s="79">
        <v>1580</v>
      </c>
      <c r="M1580" s="79"/>
      <c r="N1580" s="74"/>
      <c r="O1580" s="81" t="s">
        <v>1235</v>
      </c>
    </row>
    <row r="1581" spans="1:15" ht="15">
      <c r="A1581" s="66" t="s">
        <v>226</v>
      </c>
      <c r="B1581" s="66" t="s">
        <v>1201</v>
      </c>
      <c r="C1581" s="67"/>
      <c r="D1581" s="68"/>
      <c r="E1581" s="69"/>
      <c r="F1581" s="70"/>
      <c r="G1581" s="67"/>
      <c r="H1581" s="71"/>
      <c r="I1581" s="72"/>
      <c r="J1581" s="72"/>
      <c r="K1581" s="36"/>
      <c r="L1581" s="79">
        <v>1581</v>
      </c>
      <c r="M1581" s="79"/>
      <c r="N1581" s="74"/>
      <c r="O1581" s="81" t="s">
        <v>1235</v>
      </c>
    </row>
    <row r="1582" spans="1:15" ht="15">
      <c r="A1582" s="66" t="s">
        <v>226</v>
      </c>
      <c r="B1582" s="66" t="s">
        <v>1202</v>
      </c>
      <c r="C1582" s="67"/>
      <c r="D1582" s="68"/>
      <c r="E1582" s="69"/>
      <c r="F1582" s="70"/>
      <c r="G1582" s="67"/>
      <c r="H1582" s="71"/>
      <c r="I1582" s="72"/>
      <c r="J1582" s="72"/>
      <c r="K1582" s="36"/>
      <c r="L1582" s="79">
        <v>1582</v>
      </c>
      <c r="M1582" s="79"/>
      <c r="N1582" s="74"/>
      <c r="O1582" s="81" t="s">
        <v>1235</v>
      </c>
    </row>
    <row r="1583" spans="1:15" ht="15">
      <c r="A1583" s="66" t="s">
        <v>226</v>
      </c>
      <c r="B1583" s="66" t="s">
        <v>1203</v>
      </c>
      <c r="C1583" s="67"/>
      <c r="D1583" s="68"/>
      <c r="E1583" s="69"/>
      <c r="F1583" s="70"/>
      <c r="G1583" s="67"/>
      <c r="H1583" s="71"/>
      <c r="I1583" s="72"/>
      <c r="J1583" s="72"/>
      <c r="K1583" s="36"/>
      <c r="L1583" s="79">
        <v>1583</v>
      </c>
      <c r="M1583" s="79"/>
      <c r="N1583" s="74"/>
      <c r="O1583" s="81" t="s">
        <v>1235</v>
      </c>
    </row>
    <row r="1584" spans="1:15" ht="15">
      <c r="A1584" s="66" t="s">
        <v>226</v>
      </c>
      <c r="B1584" s="66" t="s">
        <v>1204</v>
      </c>
      <c r="C1584" s="67"/>
      <c r="D1584" s="68"/>
      <c r="E1584" s="69"/>
      <c r="F1584" s="70"/>
      <c r="G1584" s="67"/>
      <c r="H1584" s="71"/>
      <c r="I1584" s="72"/>
      <c r="J1584" s="72"/>
      <c r="K1584" s="36"/>
      <c r="L1584" s="79">
        <v>1584</v>
      </c>
      <c r="M1584" s="79"/>
      <c r="N1584" s="74"/>
      <c r="O1584" s="81" t="s">
        <v>1235</v>
      </c>
    </row>
    <row r="1585" spans="1:15" ht="15">
      <c r="A1585" s="66" t="s">
        <v>226</v>
      </c>
      <c r="B1585" s="66" t="s">
        <v>1205</v>
      </c>
      <c r="C1585" s="67"/>
      <c r="D1585" s="68"/>
      <c r="E1585" s="69"/>
      <c r="F1585" s="70"/>
      <c r="G1585" s="67"/>
      <c r="H1585" s="71"/>
      <c r="I1585" s="72"/>
      <c r="J1585" s="72"/>
      <c r="K1585" s="36"/>
      <c r="L1585" s="79">
        <v>1585</v>
      </c>
      <c r="M1585" s="79"/>
      <c r="N1585" s="74"/>
      <c r="O1585" s="81" t="s">
        <v>1235</v>
      </c>
    </row>
    <row r="1586" spans="1:15" ht="15">
      <c r="A1586" s="66" t="s">
        <v>226</v>
      </c>
      <c r="B1586" s="66" t="s">
        <v>1206</v>
      </c>
      <c r="C1586" s="67"/>
      <c r="D1586" s="68"/>
      <c r="E1586" s="69"/>
      <c r="F1586" s="70"/>
      <c r="G1586" s="67"/>
      <c r="H1586" s="71"/>
      <c r="I1586" s="72"/>
      <c r="J1586" s="72"/>
      <c r="K1586" s="36"/>
      <c r="L1586" s="79">
        <v>1586</v>
      </c>
      <c r="M1586" s="79"/>
      <c r="N1586" s="74"/>
      <c r="O1586" s="81" t="s">
        <v>1235</v>
      </c>
    </row>
    <row r="1587" spans="1:15" ht="15">
      <c r="A1587" s="66" t="s">
        <v>226</v>
      </c>
      <c r="B1587" s="66" t="s">
        <v>1207</v>
      </c>
      <c r="C1587" s="67"/>
      <c r="D1587" s="68"/>
      <c r="E1587" s="69"/>
      <c r="F1587" s="70"/>
      <c r="G1587" s="67"/>
      <c r="H1587" s="71"/>
      <c r="I1587" s="72"/>
      <c r="J1587" s="72"/>
      <c r="K1587" s="36"/>
      <c r="L1587" s="79">
        <v>1587</v>
      </c>
      <c r="M1587" s="79"/>
      <c r="N1587" s="74"/>
      <c r="O1587" s="81" t="s">
        <v>1235</v>
      </c>
    </row>
    <row r="1588" spans="1:15" ht="15">
      <c r="A1588" s="66" t="s">
        <v>226</v>
      </c>
      <c r="B1588" s="66" t="s">
        <v>1208</v>
      </c>
      <c r="C1588" s="67"/>
      <c r="D1588" s="68"/>
      <c r="E1588" s="69"/>
      <c r="F1588" s="70"/>
      <c r="G1588" s="67"/>
      <c r="H1588" s="71"/>
      <c r="I1588" s="72"/>
      <c r="J1588" s="72"/>
      <c r="K1588" s="36"/>
      <c r="L1588" s="79">
        <v>1588</v>
      </c>
      <c r="M1588" s="79"/>
      <c r="N1588" s="74"/>
      <c r="O1588" s="81" t="s">
        <v>1235</v>
      </c>
    </row>
    <row r="1589" spans="1:15" ht="15">
      <c r="A1589" s="66" t="s">
        <v>215</v>
      </c>
      <c r="B1589" s="66" t="s">
        <v>603</v>
      </c>
      <c r="C1589" s="67"/>
      <c r="D1589" s="68"/>
      <c r="E1589" s="69"/>
      <c r="F1589" s="70"/>
      <c r="G1589" s="67"/>
      <c r="H1589" s="71"/>
      <c r="I1589" s="72"/>
      <c r="J1589" s="72"/>
      <c r="K1589" s="36"/>
      <c r="L1589" s="79">
        <v>1589</v>
      </c>
      <c r="M1589" s="79"/>
      <c r="N1589" s="74"/>
      <c r="O1589" s="81" t="s">
        <v>1235</v>
      </c>
    </row>
    <row r="1590" spans="1:15" ht="15">
      <c r="A1590" s="66" t="s">
        <v>221</v>
      </c>
      <c r="B1590" s="66" t="s">
        <v>603</v>
      </c>
      <c r="C1590" s="67"/>
      <c r="D1590" s="68"/>
      <c r="E1590" s="69"/>
      <c r="F1590" s="70"/>
      <c r="G1590" s="67"/>
      <c r="H1590" s="71"/>
      <c r="I1590" s="72"/>
      <c r="J1590" s="72"/>
      <c r="K1590" s="36"/>
      <c r="L1590" s="79">
        <v>1590</v>
      </c>
      <c r="M1590" s="79"/>
      <c r="N1590" s="74"/>
      <c r="O1590" s="81" t="s">
        <v>1235</v>
      </c>
    </row>
    <row r="1591" spans="1:15" ht="15">
      <c r="A1591" s="66" t="s">
        <v>226</v>
      </c>
      <c r="B1591" s="66" t="s">
        <v>603</v>
      </c>
      <c r="C1591" s="67"/>
      <c r="D1591" s="68"/>
      <c r="E1591" s="69"/>
      <c r="F1591" s="70"/>
      <c r="G1591" s="67"/>
      <c r="H1591" s="71"/>
      <c r="I1591" s="72"/>
      <c r="J1591" s="72"/>
      <c r="K1591" s="36"/>
      <c r="L1591" s="79">
        <v>1591</v>
      </c>
      <c r="M1591" s="79"/>
      <c r="N1591" s="74"/>
      <c r="O1591" s="81" t="s">
        <v>1235</v>
      </c>
    </row>
    <row r="1592" spans="1:15" ht="15">
      <c r="A1592" s="66" t="s">
        <v>227</v>
      </c>
      <c r="B1592" s="66" t="s">
        <v>339</v>
      </c>
      <c r="C1592" s="67"/>
      <c r="D1592" s="68"/>
      <c r="E1592" s="69"/>
      <c r="F1592" s="70"/>
      <c r="G1592" s="67"/>
      <c r="H1592" s="71"/>
      <c r="I1592" s="72"/>
      <c r="J1592" s="72"/>
      <c r="K1592" s="36"/>
      <c r="L1592" s="79">
        <v>1592</v>
      </c>
      <c r="M1592" s="79"/>
      <c r="N1592" s="74"/>
      <c r="O1592" s="81" t="s">
        <v>1235</v>
      </c>
    </row>
    <row r="1593" spans="1:15" ht="15">
      <c r="A1593" s="66" t="s">
        <v>227</v>
      </c>
      <c r="B1593" s="66" t="s">
        <v>1209</v>
      </c>
      <c r="C1593" s="67"/>
      <c r="D1593" s="68"/>
      <c r="E1593" s="69"/>
      <c r="F1593" s="70"/>
      <c r="G1593" s="67"/>
      <c r="H1593" s="71"/>
      <c r="I1593" s="72"/>
      <c r="J1593" s="72"/>
      <c r="K1593" s="36"/>
      <c r="L1593" s="79">
        <v>1593</v>
      </c>
      <c r="M1593" s="79"/>
      <c r="N1593" s="74"/>
      <c r="O1593" s="81" t="s">
        <v>1235</v>
      </c>
    </row>
    <row r="1594" spans="1:15" ht="15">
      <c r="A1594" s="66" t="s">
        <v>227</v>
      </c>
      <c r="B1594" s="66" t="s">
        <v>1210</v>
      </c>
      <c r="C1594" s="67"/>
      <c r="D1594" s="68"/>
      <c r="E1594" s="69"/>
      <c r="F1594" s="70"/>
      <c r="G1594" s="67"/>
      <c r="H1594" s="71"/>
      <c r="I1594" s="72"/>
      <c r="J1594" s="72"/>
      <c r="K1594" s="36"/>
      <c r="L1594" s="79">
        <v>1594</v>
      </c>
      <c r="M1594" s="79"/>
      <c r="N1594" s="74"/>
      <c r="O1594" s="81" t="s">
        <v>1235</v>
      </c>
    </row>
    <row r="1595" spans="1:15" ht="15">
      <c r="A1595" s="66" t="s">
        <v>227</v>
      </c>
      <c r="B1595" s="66" t="s">
        <v>1211</v>
      </c>
      <c r="C1595" s="67"/>
      <c r="D1595" s="68"/>
      <c r="E1595" s="69"/>
      <c r="F1595" s="70"/>
      <c r="G1595" s="67"/>
      <c r="H1595" s="71"/>
      <c r="I1595" s="72"/>
      <c r="J1595" s="72"/>
      <c r="K1595" s="36"/>
      <c r="L1595" s="79">
        <v>1595</v>
      </c>
      <c r="M1595" s="79"/>
      <c r="N1595" s="74"/>
      <c r="O1595" s="81" t="s">
        <v>1235</v>
      </c>
    </row>
    <row r="1596" spans="1:15" ht="15">
      <c r="A1596" s="66" t="s">
        <v>222</v>
      </c>
      <c r="B1596" s="66" t="s">
        <v>1212</v>
      </c>
      <c r="C1596" s="67"/>
      <c r="D1596" s="68"/>
      <c r="E1596" s="69"/>
      <c r="F1596" s="70"/>
      <c r="G1596" s="67"/>
      <c r="H1596" s="71"/>
      <c r="I1596" s="72"/>
      <c r="J1596" s="72"/>
      <c r="K1596" s="36"/>
      <c r="L1596" s="79">
        <v>1596</v>
      </c>
      <c r="M1596" s="79"/>
      <c r="N1596" s="74"/>
      <c r="O1596" s="81" t="s">
        <v>1235</v>
      </c>
    </row>
    <row r="1597" spans="1:15" ht="15">
      <c r="A1597" s="66" t="s">
        <v>223</v>
      </c>
      <c r="B1597" s="66" t="s">
        <v>1212</v>
      </c>
      <c r="C1597" s="67"/>
      <c r="D1597" s="68"/>
      <c r="E1597" s="69"/>
      <c r="F1597" s="70"/>
      <c r="G1597" s="67"/>
      <c r="H1597" s="71"/>
      <c r="I1597" s="72"/>
      <c r="J1597" s="72"/>
      <c r="K1597" s="36"/>
      <c r="L1597" s="79">
        <v>1597</v>
      </c>
      <c r="M1597" s="79"/>
      <c r="N1597" s="74"/>
      <c r="O1597" s="81" t="s">
        <v>1235</v>
      </c>
    </row>
    <row r="1598" spans="1:15" ht="15">
      <c r="A1598" s="66" t="s">
        <v>224</v>
      </c>
      <c r="B1598" s="66" t="s">
        <v>1212</v>
      </c>
      <c r="C1598" s="67"/>
      <c r="D1598" s="68"/>
      <c r="E1598" s="69"/>
      <c r="F1598" s="70"/>
      <c r="G1598" s="67"/>
      <c r="H1598" s="71"/>
      <c r="I1598" s="72"/>
      <c r="J1598" s="72"/>
      <c r="K1598" s="36"/>
      <c r="L1598" s="79">
        <v>1598</v>
      </c>
      <c r="M1598" s="79"/>
      <c r="N1598" s="74"/>
      <c r="O1598" s="81" t="s">
        <v>1235</v>
      </c>
    </row>
    <row r="1599" spans="1:15" ht="15">
      <c r="A1599" s="66" t="s">
        <v>225</v>
      </c>
      <c r="B1599" s="66" t="s">
        <v>1212</v>
      </c>
      <c r="C1599" s="67"/>
      <c r="D1599" s="68"/>
      <c r="E1599" s="69"/>
      <c r="F1599" s="70"/>
      <c r="G1599" s="67"/>
      <c r="H1599" s="71"/>
      <c r="I1599" s="72"/>
      <c r="J1599" s="72"/>
      <c r="K1599" s="36"/>
      <c r="L1599" s="79">
        <v>1599</v>
      </c>
      <c r="M1599" s="79"/>
      <c r="N1599" s="74"/>
      <c r="O1599" s="81" t="s">
        <v>1235</v>
      </c>
    </row>
    <row r="1600" spans="1:15" ht="15">
      <c r="A1600" s="66" t="s">
        <v>227</v>
      </c>
      <c r="B1600" s="66" t="s">
        <v>1212</v>
      </c>
      <c r="C1600" s="67"/>
      <c r="D1600" s="68"/>
      <c r="E1600" s="69"/>
      <c r="F1600" s="70"/>
      <c r="G1600" s="67"/>
      <c r="H1600" s="71"/>
      <c r="I1600" s="72"/>
      <c r="J1600" s="72"/>
      <c r="K1600" s="36"/>
      <c r="L1600" s="79">
        <v>1600</v>
      </c>
      <c r="M1600" s="79"/>
      <c r="N1600" s="74"/>
      <c r="O1600" s="81" t="s">
        <v>1235</v>
      </c>
    </row>
    <row r="1601" spans="1:15" ht="15">
      <c r="A1601" s="66" t="s">
        <v>227</v>
      </c>
      <c r="B1601" s="66" t="s">
        <v>1213</v>
      </c>
      <c r="C1601" s="67"/>
      <c r="D1601" s="68"/>
      <c r="E1601" s="69"/>
      <c r="F1601" s="70"/>
      <c r="G1601" s="67"/>
      <c r="H1601" s="71"/>
      <c r="I1601" s="72"/>
      <c r="J1601" s="72"/>
      <c r="K1601" s="36"/>
      <c r="L1601" s="79">
        <v>1601</v>
      </c>
      <c r="M1601" s="79"/>
      <c r="N1601" s="74"/>
      <c r="O1601" s="81" t="s">
        <v>1235</v>
      </c>
    </row>
    <row r="1602" spans="1:15" ht="15">
      <c r="A1602" s="66" t="s">
        <v>227</v>
      </c>
      <c r="B1602" s="66" t="s">
        <v>1214</v>
      </c>
      <c r="C1602" s="67"/>
      <c r="D1602" s="68"/>
      <c r="E1602" s="69"/>
      <c r="F1602" s="70"/>
      <c r="G1602" s="67"/>
      <c r="H1602" s="71"/>
      <c r="I1602" s="72"/>
      <c r="J1602" s="72"/>
      <c r="K1602" s="36"/>
      <c r="L1602" s="79">
        <v>1602</v>
      </c>
      <c r="M1602" s="79"/>
      <c r="N1602" s="74"/>
      <c r="O1602" s="81" t="s">
        <v>1235</v>
      </c>
    </row>
    <row r="1603" spans="1:15" ht="15">
      <c r="A1603" s="66" t="s">
        <v>227</v>
      </c>
      <c r="B1603" s="66" t="s">
        <v>1215</v>
      </c>
      <c r="C1603" s="67"/>
      <c r="D1603" s="68"/>
      <c r="E1603" s="69"/>
      <c r="F1603" s="70"/>
      <c r="G1603" s="67"/>
      <c r="H1603" s="71"/>
      <c r="I1603" s="72"/>
      <c r="J1603" s="72"/>
      <c r="K1603" s="36"/>
      <c r="L1603" s="79">
        <v>1603</v>
      </c>
      <c r="M1603" s="79"/>
      <c r="N1603" s="74"/>
      <c r="O1603" s="81" t="s">
        <v>1235</v>
      </c>
    </row>
    <row r="1604" spans="1:15" ht="15">
      <c r="A1604" s="66" t="s">
        <v>218</v>
      </c>
      <c r="B1604" s="66" t="s">
        <v>293</v>
      </c>
      <c r="C1604" s="67"/>
      <c r="D1604" s="68"/>
      <c r="E1604" s="69"/>
      <c r="F1604" s="70"/>
      <c r="G1604" s="67"/>
      <c r="H1604" s="71"/>
      <c r="I1604" s="72"/>
      <c r="J1604" s="72"/>
      <c r="K1604" s="36"/>
      <c r="L1604" s="79">
        <v>1604</v>
      </c>
      <c r="M1604" s="79"/>
      <c r="N1604" s="74"/>
      <c r="O1604" s="81" t="s">
        <v>1235</v>
      </c>
    </row>
    <row r="1605" spans="1:15" ht="15">
      <c r="A1605" s="66" t="s">
        <v>220</v>
      </c>
      <c r="B1605" s="66" t="s">
        <v>293</v>
      </c>
      <c r="C1605" s="67"/>
      <c r="D1605" s="68"/>
      <c r="E1605" s="69"/>
      <c r="F1605" s="70"/>
      <c r="G1605" s="67"/>
      <c r="H1605" s="71"/>
      <c r="I1605" s="72"/>
      <c r="J1605" s="72"/>
      <c r="K1605" s="36"/>
      <c r="L1605" s="79">
        <v>1605</v>
      </c>
      <c r="M1605" s="79"/>
      <c r="N1605" s="74"/>
      <c r="O1605" s="81" t="s">
        <v>1235</v>
      </c>
    </row>
    <row r="1606" spans="1:15" ht="15">
      <c r="A1606" s="66" t="s">
        <v>224</v>
      </c>
      <c r="B1606" s="66" t="s">
        <v>293</v>
      </c>
      <c r="C1606" s="67"/>
      <c r="D1606" s="68"/>
      <c r="E1606" s="69"/>
      <c r="F1606" s="70"/>
      <c r="G1606" s="67"/>
      <c r="H1606" s="71"/>
      <c r="I1606" s="72"/>
      <c r="J1606" s="72"/>
      <c r="K1606" s="36"/>
      <c r="L1606" s="79">
        <v>1606</v>
      </c>
      <c r="M1606" s="79"/>
      <c r="N1606" s="74"/>
      <c r="O1606" s="81" t="s">
        <v>1235</v>
      </c>
    </row>
    <row r="1607" spans="1:15" ht="15">
      <c r="A1607" s="66" t="s">
        <v>225</v>
      </c>
      <c r="B1607" s="66" t="s">
        <v>293</v>
      </c>
      <c r="C1607" s="67"/>
      <c r="D1607" s="68"/>
      <c r="E1607" s="69"/>
      <c r="F1607" s="70"/>
      <c r="G1607" s="67"/>
      <c r="H1607" s="71"/>
      <c r="I1607" s="72"/>
      <c r="J1607" s="72"/>
      <c r="K1607" s="36"/>
      <c r="L1607" s="79">
        <v>1607</v>
      </c>
      <c r="M1607" s="79"/>
      <c r="N1607" s="74"/>
      <c r="O1607" s="81" t="s">
        <v>1235</v>
      </c>
    </row>
    <row r="1608" spans="1:15" ht="15">
      <c r="A1608" s="66" t="s">
        <v>227</v>
      </c>
      <c r="B1608" s="66" t="s">
        <v>293</v>
      </c>
      <c r="C1608" s="67"/>
      <c r="D1608" s="68"/>
      <c r="E1608" s="69"/>
      <c r="F1608" s="70"/>
      <c r="G1608" s="67"/>
      <c r="H1608" s="71"/>
      <c r="I1608" s="72"/>
      <c r="J1608" s="72"/>
      <c r="K1608" s="36"/>
      <c r="L1608" s="79">
        <v>1608</v>
      </c>
      <c r="M1608" s="79"/>
      <c r="N1608" s="74"/>
      <c r="O1608" s="81" t="s">
        <v>1235</v>
      </c>
    </row>
    <row r="1609" spans="1:15" ht="15">
      <c r="A1609" s="66" t="s">
        <v>179</v>
      </c>
      <c r="B1609" s="66" t="s">
        <v>222</v>
      </c>
      <c r="C1609" s="67"/>
      <c r="D1609" s="68"/>
      <c r="E1609" s="69"/>
      <c r="F1609" s="70"/>
      <c r="G1609" s="67"/>
      <c r="H1609" s="71"/>
      <c r="I1609" s="72"/>
      <c r="J1609" s="72"/>
      <c r="K1609" s="36"/>
      <c r="L1609" s="79">
        <v>1609</v>
      </c>
      <c r="M1609" s="79"/>
      <c r="N1609" s="74"/>
      <c r="O1609" s="81" t="s">
        <v>1235</v>
      </c>
    </row>
    <row r="1610" spans="1:15" ht="15">
      <c r="A1610" s="66" t="s">
        <v>193</v>
      </c>
      <c r="B1610" s="66" t="s">
        <v>222</v>
      </c>
      <c r="C1610" s="67"/>
      <c r="D1610" s="68"/>
      <c r="E1610" s="69"/>
      <c r="F1610" s="70"/>
      <c r="G1610" s="67"/>
      <c r="H1610" s="71"/>
      <c r="I1610" s="72"/>
      <c r="J1610" s="72"/>
      <c r="K1610" s="36"/>
      <c r="L1610" s="79">
        <v>1610</v>
      </c>
      <c r="M1610" s="79"/>
      <c r="N1610" s="74"/>
      <c r="O1610" s="81" t="s">
        <v>1235</v>
      </c>
    </row>
    <row r="1611" spans="1:15" ht="15">
      <c r="A1611" s="66" t="s">
        <v>215</v>
      </c>
      <c r="B1611" s="66" t="s">
        <v>222</v>
      </c>
      <c r="C1611" s="67"/>
      <c r="D1611" s="68"/>
      <c r="E1611" s="69"/>
      <c r="F1611" s="70"/>
      <c r="G1611" s="67"/>
      <c r="H1611" s="71"/>
      <c r="I1611" s="72"/>
      <c r="J1611" s="72"/>
      <c r="K1611" s="36"/>
      <c r="L1611" s="79">
        <v>1611</v>
      </c>
      <c r="M1611" s="79"/>
      <c r="N1611" s="74"/>
      <c r="O1611" s="81" t="s">
        <v>1235</v>
      </c>
    </row>
    <row r="1612" spans="1:15" ht="15">
      <c r="A1612" s="66" t="s">
        <v>218</v>
      </c>
      <c r="B1612" s="66" t="s">
        <v>222</v>
      </c>
      <c r="C1612" s="67"/>
      <c r="D1612" s="68"/>
      <c r="E1612" s="69"/>
      <c r="F1612" s="70"/>
      <c r="G1612" s="67"/>
      <c r="H1612" s="71"/>
      <c r="I1612" s="72"/>
      <c r="J1612" s="72"/>
      <c r="K1612" s="36"/>
      <c r="L1612" s="79">
        <v>1612</v>
      </c>
      <c r="M1612" s="79"/>
      <c r="N1612" s="74"/>
      <c r="O1612" s="81" t="s">
        <v>1235</v>
      </c>
    </row>
    <row r="1613" spans="1:15" ht="15">
      <c r="A1613" s="66" t="s">
        <v>221</v>
      </c>
      <c r="B1613" s="66" t="s">
        <v>222</v>
      </c>
      <c r="C1613" s="67"/>
      <c r="D1613" s="68"/>
      <c r="E1613" s="69"/>
      <c r="F1613" s="70"/>
      <c r="G1613" s="67"/>
      <c r="H1613" s="71"/>
      <c r="I1613" s="72"/>
      <c r="J1613" s="72"/>
      <c r="K1613" s="36"/>
      <c r="L1613" s="79">
        <v>1613</v>
      </c>
      <c r="M1613" s="79"/>
      <c r="N1613" s="74"/>
      <c r="O1613" s="81" t="s">
        <v>1235</v>
      </c>
    </row>
    <row r="1614" spans="1:15" ht="15">
      <c r="A1614" s="66" t="s">
        <v>222</v>
      </c>
      <c r="B1614" s="66" t="s">
        <v>226</v>
      </c>
      <c r="C1614" s="67"/>
      <c r="D1614" s="68"/>
      <c r="E1614" s="69"/>
      <c r="F1614" s="70"/>
      <c r="G1614" s="67"/>
      <c r="H1614" s="71"/>
      <c r="I1614" s="72"/>
      <c r="J1614" s="72"/>
      <c r="K1614" s="36"/>
      <c r="L1614" s="79">
        <v>1614</v>
      </c>
      <c r="M1614" s="79"/>
      <c r="N1614" s="74"/>
      <c r="O1614" s="81" t="s">
        <v>1235</v>
      </c>
    </row>
    <row r="1615" spans="1:15" ht="15">
      <c r="A1615" s="66" t="s">
        <v>222</v>
      </c>
      <c r="B1615" s="66" t="s">
        <v>223</v>
      </c>
      <c r="C1615" s="67"/>
      <c r="D1615" s="68"/>
      <c r="E1615" s="69"/>
      <c r="F1615" s="70"/>
      <c r="G1615" s="67"/>
      <c r="H1615" s="71"/>
      <c r="I1615" s="72"/>
      <c r="J1615" s="72"/>
      <c r="K1615" s="36"/>
      <c r="L1615" s="79">
        <v>1615</v>
      </c>
      <c r="M1615" s="79"/>
      <c r="N1615" s="74"/>
      <c r="O1615" s="81" t="s">
        <v>1235</v>
      </c>
    </row>
    <row r="1616" spans="1:15" ht="15">
      <c r="A1616" s="66" t="s">
        <v>222</v>
      </c>
      <c r="B1616" s="66" t="s">
        <v>1216</v>
      </c>
      <c r="C1616" s="67"/>
      <c r="D1616" s="68"/>
      <c r="E1616" s="69"/>
      <c r="F1616" s="70"/>
      <c r="G1616" s="67"/>
      <c r="H1616" s="71"/>
      <c r="I1616" s="72"/>
      <c r="J1616" s="72"/>
      <c r="K1616" s="36"/>
      <c r="L1616" s="79">
        <v>1616</v>
      </c>
      <c r="M1616" s="79"/>
      <c r="N1616" s="74"/>
      <c r="O1616" s="81" t="s">
        <v>1235</v>
      </c>
    </row>
    <row r="1617" spans="1:15" ht="15">
      <c r="A1617" s="66" t="s">
        <v>222</v>
      </c>
      <c r="B1617" s="66" t="s">
        <v>484</v>
      </c>
      <c r="C1617" s="67"/>
      <c r="D1617" s="68"/>
      <c r="E1617" s="69"/>
      <c r="F1617" s="70"/>
      <c r="G1617" s="67"/>
      <c r="H1617" s="71"/>
      <c r="I1617" s="72"/>
      <c r="J1617" s="72"/>
      <c r="K1617" s="36"/>
      <c r="L1617" s="79">
        <v>1617</v>
      </c>
      <c r="M1617" s="79"/>
      <c r="N1617" s="74"/>
      <c r="O1617" s="81" t="s">
        <v>1235</v>
      </c>
    </row>
    <row r="1618" spans="1:15" ht="15">
      <c r="A1618" s="66" t="s">
        <v>222</v>
      </c>
      <c r="B1618" s="66" t="s">
        <v>225</v>
      </c>
      <c r="C1618" s="67"/>
      <c r="D1618" s="68"/>
      <c r="E1618" s="69"/>
      <c r="F1618" s="70"/>
      <c r="G1618" s="67"/>
      <c r="H1618" s="71"/>
      <c r="I1618" s="72"/>
      <c r="J1618" s="72"/>
      <c r="K1618" s="36"/>
      <c r="L1618" s="79">
        <v>1618</v>
      </c>
      <c r="M1618" s="79"/>
      <c r="N1618" s="74"/>
      <c r="O1618" s="81" t="s">
        <v>1235</v>
      </c>
    </row>
    <row r="1619" spans="1:15" ht="15">
      <c r="A1619" s="66" t="s">
        <v>222</v>
      </c>
      <c r="B1619" s="66" t="s">
        <v>227</v>
      </c>
      <c r="C1619" s="67"/>
      <c r="D1619" s="68"/>
      <c r="E1619" s="69"/>
      <c r="F1619" s="70"/>
      <c r="G1619" s="67"/>
      <c r="H1619" s="71"/>
      <c r="I1619" s="72"/>
      <c r="J1619" s="72"/>
      <c r="K1619" s="36"/>
      <c r="L1619" s="79">
        <v>1619</v>
      </c>
      <c r="M1619" s="79"/>
      <c r="N1619" s="74"/>
      <c r="O1619" s="81" t="s">
        <v>1235</v>
      </c>
    </row>
    <row r="1620" spans="1:15" ht="15">
      <c r="A1620" s="66" t="s">
        <v>222</v>
      </c>
      <c r="B1620" s="66" t="s">
        <v>224</v>
      </c>
      <c r="C1620" s="67"/>
      <c r="D1620" s="68"/>
      <c r="E1620" s="69"/>
      <c r="F1620" s="70"/>
      <c r="G1620" s="67"/>
      <c r="H1620" s="71"/>
      <c r="I1620" s="72"/>
      <c r="J1620" s="72"/>
      <c r="K1620" s="36"/>
      <c r="L1620" s="79">
        <v>1620</v>
      </c>
      <c r="M1620" s="79"/>
      <c r="N1620" s="74"/>
      <c r="O1620" s="81" t="s">
        <v>1235</v>
      </c>
    </row>
    <row r="1621" spans="1:15" ht="15">
      <c r="A1621" s="66" t="s">
        <v>222</v>
      </c>
      <c r="B1621" s="66" t="s">
        <v>179</v>
      </c>
      <c r="C1621" s="67"/>
      <c r="D1621" s="68"/>
      <c r="E1621" s="69"/>
      <c r="F1621" s="70"/>
      <c r="G1621" s="67"/>
      <c r="H1621" s="71"/>
      <c r="I1621" s="72"/>
      <c r="J1621" s="72"/>
      <c r="K1621" s="36"/>
      <c r="L1621" s="79">
        <v>1621</v>
      </c>
      <c r="M1621" s="79"/>
      <c r="N1621" s="74"/>
      <c r="O1621" s="81" t="s">
        <v>1235</v>
      </c>
    </row>
    <row r="1622" spans="1:15" ht="15">
      <c r="A1622" s="66" t="s">
        <v>222</v>
      </c>
      <c r="B1622" s="66" t="s">
        <v>295</v>
      </c>
      <c r="C1622" s="67"/>
      <c r="D1622" s="68"/>
      <c r="E1622" s="69"/>
      <c r="F1622" s="70"/>
      <c r="G1622" s="67"/>
      <c r="H1622" s="71"/>
      <c r="I1622" s="72"/>
      <c r="J1622" s="72"/>
      <c r="K1622" s="36"/>
      <c r="L1622" s="79">
        <v>1622</v>
      </c>
      <c r="M1622" s="79"/>
      <c r="N1622" s="74"/>
      <c r="O1622" s="81" t="s">
        <v>1235</v>
      </c>
    </row>
    <row r="1623" spans="1:15" ht="15">
      <c r="A1623" s="66" t="s">
        <v>222</v>
      </c>
      <c r="B1623" s="66" t="s">
        <v>221</v>
      </c>
      <c r="C1623" s="67"/>
      <c r="D1623" s="68"/>
      <c r="E1623" s="69"/>
      <c r="F1623" s="70"/>
      <c r="G1623" s="67"/>
      <c r="H1623" s="71"/>
      <c r="I1623" s="72"/>
      <c r="J1623" s="72"/>
      <c r="K1623" s="36"/>
      <c r="L1623" s="79">
        <v>1623</v>
      </c>
      <c r="M1623" s="79"/>
      <c r="N1623" s="74"/>
      <c r="O1623" s="81" t="s">
        <v>1235</v>
      </c>
    </row>
    <row r="1624" spans="1:15" ht="15">
      <c r="A1624" s="66" t="s">
        <v>222</v>
      </c>
      <c r="B1624" s="66" t="s">
        <v>193</v>
      </c>
      <c r="C1624" s="67"/>
      <c r="D1624" s="68"/>
      <c r="E1624" s="69"/>
      <c r="F1624" s="70"/>
      <c r="G1624" s="67"/>
      <c r="H1624" s="71"/>
      <c r="I1624" s="72"/>
      <c r="J1624" s="72"/>
      <c r="K1624" s="36"/>
      <c r="L1624" s="79">
        <v>1624</v>
      </c>
      <c r="M1624" s="79"/>
      <c r="N1624" s="74"/>
      <c r="O1624" s="81" t="s">
        <v>1235</v>
      </c>
    </row>
    <row r="1625" spans="1:15" ht="15">
      <c r="A1625" s="66" t="s">
        <v>222</v>
      </c>
      <c r="B1625" s="66" t="s">
        <v>220</v>
      </c>
      <c r="C1625" s="67"/>
      <c r="D1625" s="68"/>
      <c r="E1625" s="69"/>
      <c r="F1625" s="70"/>
      <c r="G1625" s="67"/>
      <c r="H1625" s="71"/>
      <c r="I1625" s="72"/>
      <c r="J1625" s="72"/>
      <c r="K1625" s="36"/>
      <c r="L1625" s="79">
        <v>1625</v>
      </c>
      <c r="M1625" s="79"/>
      <c r="N1625" s="74"/>
      <c r="O1625" s="81" t="s">
        <v>1235</v>
      </c>
    </row>
    <row r="1626" spans="1:15" ht="15">
      <c r="A1626" s="66" t="s">
        <v>223</v>
      </c>
      <c r="B1626" s="66" t="s">
        <v>222</v>
      </c>
      <c r="C1626" s="67"/>
      <c r="D1626" s="68"/>
      <c r="E1626" s="69"/>
      <c r="F1626" s="70"/>
      <c r="G1626" s="67"/>
      <c r="H1626" s="71"/>
      <c r="I1626" s="72"/>
      <c r="J1626" s="72"/>
      <c r="K1626" s="36"/>
      <c r="L1626" s="79">
        <v>1626</v>
      </c>
      <c r="M1626" s="79"/>
      <c r="N1626" s="74"/>
      <c r="O1626" s="81" t="s">
        <v>1235</v>
      </c>
    </row>
    <row r="1627" spans="1:15" ht="15">
      <c r="A1627" s="66" t="s">
        <v>224</v>
      </c>
      <c r="B1627" s="66" t="s">
        <v>222</v>
      </c>
      <c r="C1627" s="67"/>
      <c r="D1627" s="68"/>
      <c r="E1627" s="69"/>
      <c r="F1627" s="70"/>
      <c r="G1627" s="67"/>
      <c r="H1627" s="71"/>
      <c r="I1627" s="72"/>
      <c r="J1627" s="72"/>
      <c r="K1627" s="36"/>
      <c r="L1627" s="79">
        <v>1627</v>
      </c>
      <c r="M1627" s="79"/>
      <c r="N1627" s="74"/>
      <c r="O1627" s="81" t="s">
        <v>1235</v>
      </c>
    </row>
    <row r="1628" spans="1:15" ht="15">
      <c r="A1628" s="66" t="s">
        <v>225</v>
      </c>
      <c r="B1628" s="66" t="s">
        <v>222</v>
      </c>
      <c r="C1628" s="67"/>
      <c r="D1628" s="68"/>
      <c r="E1628" s="69"/>
      <c r="F1628" s="70"/>
      <c r="G1628" s="67"/>
      <c r="H1628" s="71"/>
      <c r="I1628" s="72"/>
      <c r="J1628" s="72"/>
      <c r="K1628" s="36"/>
      <c r="L1628" s="79">
        <v>1628</v>
      </c>
      <c r="M1628" s="79"/>
      <c r="N1628" s="74"/>
      <c r="O1628" s="81" t="s">
        <v>1235</v>
      </c>
    </row>
    <row r="1629" spans="1:15" ht="15">
      <c r="A1629" s="66" t="s">
        <v>227</v>
      </c>
      <c r="B1629" s="66" t="s">
        <v>222</v>
      </c>
      <c r="C1629" s="67"/>
      <c r="D1629" s="68"/>
      <c r="E1629" s="69"/>
      <c r="F1629" s="70"/>
      <c r="G1629" s="67"/>
      <c r="H1629" s="71"/>
      <c r="I1629" s="72"/>
      <c r="J1629" s="72"/>
      <c r="K1629" s="36"/>
      <c r="L1629" s="79">
        <v>1629</v>
      </c>
      <c r="M1629" s="79"/>
      <c r="N1629" s="74"/>
      <c r="O1629" s="81" t="s">
        <v>1235</v>
      </c>
    </row>
    <row r="1630" spans="1:15" ht="15">
      <c r="A1630" s="66" t="s">
        <v>227</v>
      </c>
      <c r="B1630" s="66" t="s">
        <v>1217</v>
      </c>
      <c r="C1630" s="67"/>
      <c r="D1630" s="68"/>
      <c r="E1630" s="69"/>
      <c r="F1630" s="70"/>
      <c r="G1630" s="67"/>
      <c r="H1630" s="71"/>
      <c r="I1630" s="72"/>
      <c r="J1630" s="72"/>
      <c r="K1630" s="36"/>
      <c r="L1630" s="79">
        <v>1630</v>
      </c>
      <c r="M1630" s="79"/>
      <c r="N1630" s="74"/>
      <c r="O1630" s="81" t="s">
        <v>1235</v>
      </c>
    </row>
    <row r="1631" spans="1:15" ht="15">
      <c r="A1631" s="66" t="s">
        <v>225</v>
      </c>
      <c r="B1631" s="66" t="s">
        <v>1218</v>
      </c>
      <c r="C1631" s="67"/>
      <c r="D1631" s="68"/>
      <c r="E1631" s="69"/>
      <c r="F1631" s="70"/>
      <c r="G1631" s="67"/>
      <c r="H1631" s="71"/>
      <c r="I1631" s="72"/>
      <c r="J1631" s="72"/>
      <c r="K1631" s="36"/>
      <c r="L1631" s="79">
        <v>1631</v>
      </c>
      <c r="M1631" s="79"/>
      <c r="N1631" s="74"/>
      <c r="O1631" s="81" t="s">
        <v>1235</v>
      </c>
    </row>
    <row r="1632" spans="1:15" ht="15">
      <c r="A1632" s="66" t="s">
        <v>227</v>
      </c>
      <c r="B1632" s="66" t="s">
        <v>1218</v>
      </c>
      <c r="C1632" s="67"/>
      <c r="D1632" s="68"/>
      <c r="E1632" s="69"/>
      <c r="F1632" s="70"/>
      <c r="G1632" s="67"/>
      <c r="H1632" s="71"/>
      <c r="I1632" s="72"/>
      <c r="J1632" s="72"/>
      <c r="K1632" s="36"/>
      <c r="L1632" s="79">
        <v>1632</v>
      </c>
      <c r="M1632" s="79"/>
      <c r="N1632" s="74"/>
      <c r="O1632" s="81" t="s">
        <v>1235</v>
      </c>
    </row>
    <row r="1633" spans="1:15" ht="15">
      <c r="A1633" s="66" t="s">
        <v>193</v>
      </c>
      <c r="B1633" s="66" t="s">
        <v>215</v>
      </c>
      <c r="C1633" s="67"/>
      <c r="D1633" s="68"/>
      <c r="E1633" s="69"/>
      <c r="F1633" s="70"/>
      <c r="G1633" s="67"/>
      <c r="H1633" s="71"/>
      <c r="I1633" s="72"/>
      <c r="J1633" s="72"/>
      <c r="K1633" s="36"/>
      <c r="L1633" s="79">
        <v>1633</v>
      </c>
      <c r="M1633" s="79"/>
      <c r="N1633" s="74"/>
      <c r="O1633" s="81" t="s">
        <v>1235</v>
      </c>
    </row>
    <row r="1634" spans="1:15" ht="15">
      <c r="A1634" s="66" t="s">
        <v>215</v>
      </c>
      <c r="B1634" s="66" t="s">
        <v>484</v>
      </c>
      <c r="C1634" s="67"/>
      <c r="D1634" s="68"/>
      <c r="E1634" s="69"/>
      <c r="F1634" s="70"/>
      <c r="G1634" s="67"/>
      <c r="H1634" s="71"/>
      <c r="I1634" s="72"/>
      <c r="J1634" s="72"/>
      <c r="K1634" s="36"/>
      <c r="L1634" s="79">
        <v>1634</v>
      </c>
      <c r="M1634" s="79"/>
      <c r="N1634" s="74"/>
      <c r="O1634" s="81" t="s">
        <v>1235</v>
      </c>
    </row>
    <row r="1635" spans="1:15" ht="15">
      <c r="A1635" s="66" t="s">
        <v>215</v>
      </c>
      <c r="B1635" s="66" t="s">
        <v>223</v>
      </c>
      <c r="C1635" s="67"/>
      <c r="D1635" s="68"/>
      <c r="E1635" s="69"/>
      <c r="F1635" s="70"/>
      <c r="G1635" s="67"/>
      <c r="H1635" s="71"/>
      <c r="I1635" s="72"/>
      <c r="J1635" s="72"/>
      <c r="K1635" s="36"/>
      <c r="L1635" s="79">
        <v>1635</v>
      </c>
      <c r="M1635" s="79"/>
      <c r="N1635" s="74"/>
      <c r="O1635" s="81" t="s">
        <v>1235</v>
      </c>
    </row>
    <row r="1636" spans="1:15" ht="15">
      <c r="A1636" s="66" t="s">
        <v>215</v>
      </c>
      <c r="B1636" s="66" t="s">
        <v>971</v>
      </c>
      <c r="C1636" s="67"/>
      <c r="D1636" s="68"/>
      <c r="E1636" s="69"/>
      <c r="F1636" s="70"/>
      <c r="G1636" s="67"/>
      <c r="H1636" s="71"/>
      <c r="I1636" s="72"/>
      <c r="J1636" s="72"/>
      <c r="K1636" s="36"/>
      <c r="L1636" s="79">
        <v>1636</v>
      </c>
      <c r="M1636" s="79"/>
      <c r="N1636" s="74"/>
      <c r="O1636" s="81" t="s">
        <v>1235</v>
      </c>
    </row>
    <row r="1637" spans="1:15" ht="15">
      <c r="A1637" s="66" t="s">
        <v>215</v>
      </c>
      <c r="B1637" s="66" t="s">
        <v>221</v>
      </c>
      <c r="C1637" s="67"/>
      <c r="D1637" s="68"/>
      <c r="E1637" s="69"/>
      <c r="F1637" s="70"/>
      <c r="G1637" s="67"/>
      <c r="H1637" s="71"/>
      <c r="I1637" s="72"/>
      <c r="J1637" s="72"/>
      <c r="K1637" s="36"/>
      <c r="L1637" s="79">
        <v>1637</v>
      </c>
      <c r="M1637" s="79"/>
      <c r="N1637" s="74"/>
      <c r="O1637" s="81" t="s">
        <v>1235</v>
      </c>
    </row>
    <row r="1638" spans="1:15" ht="15">
      <c r="A1638" s="66" t="s">
        <v>215</v>
      </c>
      <c r="B1638" s="66" t="s">
        <v>225</v>
      </c>
      <c r="C1638" s="67"/>
      <c r="D1638" s="68"/>
      <c r="E1638" s="69"/>
      <c r="F1638" s="70"/>
      <c r="G1638" s="67"/>
      <c r="H1638" s="71"/>
      <c r="I1638" s="72"/>
      <c r="J1638" s="72"/>
      <c r="K1638" s="36"/>
      <c r="L1638" s="79">
        <v>1638</v>
      </c>
      <c r="M1638" s="79"/>
      <c r="N1638" s="74"/>
      <c r="O1638" s="81" t="s">
        <v>1235</v>
      </c>
    </row>
    <row r="1639" spans="1:15" ht="15">
      <c r="A1639" s="66" t="s">
        <v>215</v>
      </c>
      <c r="B1639" s="66" t="s">
        <v>1219</v>
      </c>
      <c r="C1639" s="67"/>
      <c r="D1639" s="68"/>
      <c r="E1639" s="69"/>
      <c r="F1639" s="70"/>
      <c r="G1639" s="67"/>
      <c r="H1639" s="71"/>
      <c r="I1639" s="72"/>
      <c r="J1639" s="72"/>
      <c r="K1639" s="36"/>
      <c r="L1639" s="79">
        <v>1639</v>
      </c>
      <c r="M1639" s="79"/>
      <c r="N1639" s="74"/>
      <c r="O1639" s="81" t="s">
        <v>1235</v>
      </c>
    </row>
    <row r="1640" spans="1:15" ht="15">
      <c r="A1640" s="66" t="s">
        <v>215</v>
      </c>
      <c r="B1640" s="66" t="s">
        <v>227</v>
      </c>
      <c r="C1640" s="67"/>
      <c r="D1640" s="68"/>
      <c r="E1640" s="69"/>
      <c r="F1640" s="70"/>
      <c r="G1640" s="67"/>
      <c r="H1640" s="71"/>
      <c r="I1640" s="72"/>
      <c r="J1640" s="72"/>
      <c r="K1640" s="36"/>
      <c r="L1640" s="79">
        <v>1640</v>
      </c>
      <c r="M1640" s="79"/>
      <c r="N1640" s="74"/>
      <c r="O1640" s="81" t="s">
        <v>1235</v>
      </c>
    </row>
    <row r="1641" spans="1:15" ht="15">
      <c r="A1641" s="66" t="s">
        <v>215</v>
      </c>
      <c r="B1641" s="66" t="s">
        <v>220</v>
      </c>
      <c r="C1641" s="67"/>
      <c r="D1641" s="68"/>
      <c r="E1641" s="69"/>
      <c r="F1641" s="70"/>
      <c r="G1641" s="67"/>
      <c r="H1641" s="71"/>
      <c r="I1641" s="72"/>
      <c r="J1641" s="72"/>
      <c r="K1641" s="36"/>
      <c r="L1641" s="79">
        <v>1641</v>
      </c>
      <c r="M1641" s="79"/>
      <c r="N1641" s="74"/>
      <c r="O1641" s="81" t="s">
        <v>1235</v>
      </c>
    </row>
    <row r="1642" spans="1:15" ht="15">
      <c r="A1642" s="66" t="s">
        <v>215</v>
      </c>
      <c r="B1642" s="66" t="s">
        <v>295</v>
      </c>
      <c r="C1642" s="67"/>
      <c r="D1642" s="68"/>
      <c r="E1642" s="69"/>
      <c r="F1642" s="70"/>
      <c r="G1642" s="67"/>
      <c r="H1642" s="71"/>
      <c r="I1642" s="72"/>
      <c r="J1642" s="72"/>
      <c r="K1642" s="36"/>
      <c r="L1642" s="79">
        <v>1642</v>
      </c>
      <c r="M1642" s="79"/>
      <c r="N1642" s="74"/>
      <c r="O1642" s="81" t="s">
        <v>1235</v>
      </c>
    </row>
    <row r="1643" spans="1:15" ht="15">
      <c r="A1643" s="66" t="s">
        <v>215</v>
      </c>
      <c r="B1643" s="66" t="s">
        <v>218</v>
      </c>
      <c r="C1643" s="67"/>
      <c r="D1643" s="68"/>
      <c r="E1643" s="69"/>
      <c r="F1643" s="70"/>
      <c r="G1643" s="67"/>
      <c r="H1643" s="71"/>
      <c r="I1643" s="72"/>
      <c r="J1643" s="72"/>
      <c r="K1643" s="36"/>
      <c r="L1643" s="79">
        <v>1643</v>
      </c>
      <c r="M1643" s="79"/>
      <c r="N1643" s="74"/>
      <c r="O1643" s="81" t="s">
        <v>1235</v>
      </c>
    </row>
    <row r="1644" spans="1:15" ht="15">
      <c r="A1644" s="66" t="s">
        <v>223</v>
      </c>
      <c r="B1644" s="66" t="s">
        <v>215</v>
      </c>
      <c r="C1644" s="67"/>
      <c r="D1644" s="68"/>
      <c r="E1644" s="69"/>
      <c r="F1644" s="70"/>
      <c r="G1644" s="67"/>
      <c r="H1644" s="71"/>
      <c r="I1644" s="72"/>
      <c r="J1644" s="72"/>
      <c r="K1644" s="36"/>
      <c r="L1644" s="79">
        <v>1644</v>
      </c>
      <c r="M1644" s="79"/>
      <c r="N1644" s="74"/>
      <c r="O1644" s="81" t="s">
        <v>1235</v>
      </c>
    </row>
    <row r="1645" spans="1:15" ht="15">
      <c r="A1645" s="66" t="s">
        <v>227</v>
      </c>
      <c r="B1645" s="66" t="s">
        <v>215</v>
      </c>
      <c r="C1645" s="67"/>
      <c r="D1645" s="68"/>
      <c r="E1645" s="69"/>
      <c r="F1645" s="70"/>
      <c r="G1645" s="67"/>
      <c r="H1645" s="71"/>
      <c r="I1645" s="72"/>
      <c r="J1645" s="72"/>
      <c r="K1645" s="36"/>
      <c r="L1645" s="79">
        <v>1645</v>
      </c>
      <c r="M1645" s="79"/>
      <c r="N1645" s="74"/>
      <c r="O1645" s="81" t="s">
        <v>1235</v>
      </c>
    </row>
    <row r="1646" spans="1:15" ht="15">
      <c r="A1646" s="66" t="s">
        <v>227</v>
      </c>
      <c r="B1646" s="66" t="s">
        <v>1220</v>
      </c>
      <c r="C1646" s="67"/>
      <c r="D1646" s="68"/>
      <c r="E1646" s="69"/>
      <c r="F1646" s="70"/>
      <c r="G1646" s="67"/>
      <c r="H1646" s="71"/>
      <c r="I1646" s="72"/>
      <c r="J1646" s="72"/>
      <c r="K1646" s="36"/>
      <c r="L1646" s="79">
        <v>1646</v>
      </c>
      <c r="M1646" s="79"/>
      <c r="N1646" s="74"/>
      <c r="O1646" s="81" t="s">
        <v>1235</v>
      </c>
    </row>
    <row r="1647" spans="1:15" ht="15">
      <c r="A1647" s="66" t="s">
        <v>179</v>
      </c>
      <c r="B1647" s="66" t="s">
        <v>223</v>
      </c>
      <c r="C1647" s="67"/>
      <c r="D1647" s="68"/>
      <c r="E1647" s="69"/>
      <c r="F1647" s="70"/>
      <c r="G1647" s="67"/>
      <c r="H1647" s="71"/>
      <c r="I1647" s="72"/>
      <c r="J1647" s="72"/>
      <c r="K1647" s="36"/>
      <c r="L1647" s="79">
        <v>1647</v>
      </c>
      <c r="M1647" s="79"/>
      <c r="N1647" s="74"/>
      <c r="O1647" s="81" t="s">
        <v>1235</v>
      </c>
    </row>
    <row r="1648" spans="1:15" ht="15">
      <c r="A1648" s="66" t="s">
        <v>179</v>
      </c>
      <c r="B1648" s="66" t="s">
        <v>225</v>
      </c>
      <c r="C1648" s="67"/>
      <c r="D1648" s="68"/>
      <c r="E1648" s="69"/>
      <c r="F1648" s="70"/>
      <c r="G1648" s="67"/>
      <c r="H1648" s="71"/>
      <c r="I1648" s="72"/>
      <c r="J1648" s="72"/>
      <c r="K1648" s="36"/>
      <c r="L1648" s="79">
        <v>1648</v>
      </c>
      <c r="M1648" s="79"/>
      <c r="N1648" s="74"/>
      <c r="O1648" s="81" t="s">
        <v>1235</v>
      </c>
    </row>
    <row r="1649" spans="1:15" ht="15">
      <c r="A1649" s="66" t="s">
        <v>179</v>
      </c>
      <c r="B1649" s="66" t="s">
        <v>227</v>
      </c>
      <c r="C1649" s="67"/>
      <c r="D1649" s="68"/>
      <c r="E1649" s="69"/>
      <c r="F1649" s="70"/>
      <c r="G1649" s="67"/>
      <c r="H1649" s="71"/>
      <c r="I1649" s="72"/>
      <c r="J1649" s="72"/>
      <c r="K1649" s="36"/>
      <c r="L1649" s="79">
        <v>1649</v>
      </c>
      <c r="M1649" s="79"/>
      <c r="N1649" s="74"/>
      <c r="O1649" s="81" t="s">
        <v>1235</v>
      </c>
    </row>
    <row r="1650" spans="1:15" ht="15">
      <c r="A1650" s="66" t="s">
        <v>179</v>
      </c>
      <c r="B1650" s="66" t="s">
        <v>220</v>
      </c>
      <c r="C1650" s="67"/>
      <c r="D1650" s="68"/>
      <c r="E1650" s="69"/>
      <c r="F1650" s="70"/>
      <c r="G1650" s="67"/>
      <c r="H1650" s="71"/>
      <c r="I1650" s="72"/>
      <c r="J1650" s="72"/>
      <c r="K1650" s="36"/>
      <c r="L1650" s="79">
        <v>1650</v>
      </c>
      <c r="M1650" s="79"/>
      <c r="N1650" s="74"/>
      <c r="O1650" s="81" t="s">
        <v>1235</v>
      </c>
    </row>
    <row r="1651" spans="1:15" ht="15">
      <c r="A1651" s="66" t="s">
        <v>179</v>
      </c>
      <c r="B1651" s="66" t="s">
        <v>295</v>
      </c>
      <c r="C1651" s="67"/>
      <c r="D1651" s="68"/>
      <c r="E1651" s="69"/>
      <c r="F1651" s="70"/>
      <c r="G1651" s="67"/>
      <c r="H1651" s="71"/>
      <c r="I1651" s="72"/>
      <c r="J1651" s="72"/>
      <c r="K1651" s="36"/>
      <c r="L1651" s="79">
        <v>1651</v>
      </c>
      <c r="M1651" s="79"/>
      <c r="N1651" s="74"/>
      <c r="O1651" s="81" t="s">
        <v>1235</v>
      </c>
    </row>
    <row r="1652" spans="1:15" ht="15">
      <c r="A1652" s="66" t="s">
        <v>179</v>
      </c>
      <c r="B1652" s="66" t="s">
        <v>221</v>
      </c>
      <c r="C1652" s="67"/>
      <c r="D1652" s="68"/>
      <c r="E1652" s="69"/>
      <c r="F1652" s="70"/>
      <c r="G1652" s="67"/>
      <c r="H1652" s="71"/>
      <c r="I1652" s="72"/>
      <c r="J1652" s="72"/>
      <c r="K1652" s="36"/>
      <c r="L1652" s="79">
        <v>1652</v>
      </c>
      <c r="M1652" s="79"/>
      <c r="N1652" s="74"/>
      <c r="O1652" s="81" t="s">
        <v>1235</v>
      </c>
    </row>
    <row r="1653" spans="1:15" ht="15">
      <c r="A1653" s="66" t="s">
        <v>179</v>
      </c>
      <c r="B1653" s="66" t="s">
        <v>226</v>
      </c>
      <c r="C1653" s="67"/>
      <c r="D1653" s="68"/>
      <c r="E1653" s="69"/>
      <c r="F1653" s="70"/>
      <c r="G1653" s="67"/>
      <c r="H1653" s="71"/>
      <c r="I1653" s="72"/>
      <c r="J1653" s="72"/>
      <c r="K1653" s="36"/>
      <c r="L1653" s="79">
        <v>1653</v>
      </c>
      <c r="M1653" s="79"/>
      <c r="N1653" s="74"/>
      <c r="O1653" s="81" t="s">
        <v>1235</v>
      </c>
    </row>
    <row r="1654" spans="1:15" ht="15">
      <c r="A1654" s="66" t="s">
        <v>179</v>
      </c>
      <c r="B1654" s="66" t="s">
        <v>224</v>
      </c>
      <c r="C1654" s="67"/>
      <c r="D1654" s="68"/>
      <c r="E1654" s="69"/>
      <c r="F1654" s="70"/>
      <c r="G1654" s="67"/>
      <c r="H1654" s="71"/>
      <c r="I1654" s="72"/>
      <c r="J1654" s="72"/>
      <c r="K1654" s="36"/>
      <c r="L1654" s="79">
        <v>1654</v>
      </c>
      <c r="M1654" s="79"/>
      <c r="N1654" s="74"/>
      <c r="O1654" s="81" t="s">
        <v>1235</v>
      </c>
    </row>
    <row r="1655" spans="1:15" ht="15">
      <c r="A1655" s="66" t="s">
        <v>179</v>
      </c>
      <c r="B1655" s="66" t="s">
        <v>218</v>
      </c>
      <c r="C1655" s="67"/>
      <c r="D1655" s="68"/>
      <c r="E1655" s="69"/>
      <c r="F1655" s="70"/>
      <c r="G1655" s="67"/>
      <c r="H1655" s="71"/>
      <c r="I1655" s="72"/>
      <c r="J1655" s="72"/>
      <c r="K1655" s="36"/>
      <c r="L1655" s="79">
        <v>1655</v>
      </c>
      <c r="M1655" s="79"/>
      <c r="N1655" s="74"/>
      <c r="O1655" s="81" t="s">
        <v>1235</v>
      </c>
    </row>
    <row r="1656" spans="1:15" ht="15">
      <c r="A1656" s="66" t="s">
        <v>188</v>
      </c>
      <c r="B1656" s="66" t="s">
        <v>179</v>
      </c>
      <c r="C1656" s="67"/>
      <c r="D1656" s="68"/>
      <c r="E1656" s="69"/>
      <c r="F1656" s="70"/>
      <c r="G1656" s="67"/>
      <c r="H1656" s="71"/>
      <c r="I1656" s="72"/>
      <c r="J1656" s="72"/>
      <c r="K1656" s="36"/>
      <c r="L1656" s="79">
        <v>1656</v>
      </c>
      <c r="M1656" s="79"/>
      <c r="N1656" s="74"/>
      <c r="O1656" s="81" t="s">
        <v>1235</v>
      </c>
    </row>
    <row r="1657" spans="1:15" ht="15">
      <c r="A1657" s="66" t="s">
        <v>218</v>
      </c>
      <c r="B1657" s="66" t="s">
        <v>179</v>
      </c>
      <c r="C1657" s="67"/>
      <c r="D1657" s="68"/>
      <c r="E1657" s="69"/>
      <c r="F1657" s="70"/>
      <c r="G1657" s="67"/>
      <c r="H1657" s="71"/>
      <c r="I1657" s="72"/>
      <c r="J1657" s="72"/>
      <c r="K1657" s="36"/>
      <c r="L1657" s="79">
        <v>1657</v>
      </c>
      <c r="M1657" s="79"/>
      <c r="N1657" s="74"/>
      <c r="O1657" s="81" t="s">
        <v>1235</v>
      </c>
    </row>
    <row r="1658" spans="1:15" ht="15">
      <c r="A1658" s="66" t="s">
        <v>221</v>
      </c>
      <c r="B1658" s="66" t="s">
        <v>179</v>
      </c>
      <c r="C1658" s="67"/>
      <c r="D1658" s="68"/>
      <c r="E1658" s="69"/>
      <c r="F1658" s="70"/>
      <c r="G1658" s="67"/>
      <c r="H1658" s="71"/>
      <c r="I1658" s="72"/>
      <c r="J1658" s="72"/>
      <c r="K1658" s="36"/>
      <c r="L1658" s="79">
        <v>1658</v>
      </c>
      <c r="M1658" s="79"/>
      <c r="N1658" s="74"/>
      <c r="O1658" s="81" t="s">
        <v>1235</v>
      </c>
    </row>
    <row r="1659" spans="1:15" ht="15">
      <c r="A1659" s="66" t="s">
        <v>223</v>
      </c>
      <c r="B1659" s="66" t="s">
        <v>179</v>
      </c>
      <c r="C1659" s="67"/>
      <c r="D1659" s="68"/>
      <c r="E1659" s="69"/>
      <c r="F1659" s="70"/>
      <c r="G1659" s="67"/>
      <c r="H1659" s="71"/>
      <c r="I1659" s="72"/>
      <c r="J1659" s="72"/>
      <c r="K1659" s="36"/>
      <c r="L1659" s="79">
        <v>1659</v>
      </c>
      <c r="M1659" s="79"/>
      <c r="N1659" s="74"/>
      <c r="O1659" s="81" t="s">
        <v>1235</v>
      </c>
    </row>
    <row r="1660" spans="1:15" ht="15">
      <c r="A1660" s="66" t="s">
        <v>224</v>
      </c>
      <c r="B1660" s="66" t="s">
        <v>179</v>
      </c>
      <c r="C1660" s="67"/>
      <c r="D1660" s="68"/>
      <c r="E1660" s="69"/>
      <c r="F1660" s="70"/>
      <c r="G1660" s="67"/>
      <c r="H1660" s="71"/>
      <c r="I1660" s="72"/>
      <c r="J1660" s="72"/>
      <c r="K1660" s="36"/>
      <c r="L1660" s="79">
        <v>1660</v>
      </c>
      <c r="M1660" s="79"/>
      <c r="N1660" s="74"/>
      <c r="O1660" s="81" t="s">
        <v>1235</v>
      </c>
    </row>
    <row r="1661" spans="1:15" ht="15">
      <c r="A1661" s="66" t="s">
        <v>227</v>
      </c>
      <c r="B1661" s="66" t="s">
        <v>179</v>
      </c>
      <c r="C1661" s="67"/>
      <c r="D1661" s="68"/>
      <c r="E1661" s="69"/>
      <c r="F1661" s="70"/>
      <c r="G1661" s="67"/>
      <c r="H1661" s="71"/>
      <c r="I1661" s="72"/>
      <c r="J1661" s="72"/>
      <c r="K1661" s="36"/>
      <c r="L1661" s="79">
        <v>1661</v>
      </c>
      <c r="M1661" s="79"/>
      <c r="N1661" s="74"/>
      <c r="O1661" s="81" t="s">
        <v>1235</v>
      </c>
    </row>
    <row r="1662" spans="1:15" ht="15">
      <c r="A1662" s="66" t="s">
        <v>227</v>
      </c>
      <c r="B1662" s="66" t="s">
        <v>1221</v>
      </c>
      <c r="C1662" s="67"/>
      <c r="D1662" s="68"/>
      <c r="E1662" s="69"/>
      <c r="F1662" s="70"/>
      <c r="G1662" s="67"/>
      <c r="H1662" s="71"/>
      <c r="I1662" s="72"/>
      <c r="J1662" s="72"/>
      <c r="K1662" s="36"/>
      <c r="L1662" s="79">
        <v>1662</v>
      </c>
      <c r="M1662" s="79"/>
      <c r="N1662" s="74"/>
      <c r="O1662" s="81" t="s">
        <v>1235</v>
      </c>
    </row>
    <row r="1663" spans="1:15" ht="15">
      <c r="A1663" s="66" t="s">
        <v>227</v>
      </c>
      <c r="B1663" s="66" t="s">
        <v>1222</v>
      </c>
      <c r="C1663" s="67"/>
      <c r="D1663" s="68"/>
      <c r="E1663" s="69"/>
      <c r="F1663" s="70"/>
      <c r="G1663" s="67"/>
      <c r="H1663" s="71"/>
      <c r="I1663" s="72"/>
      <c r="J1663" s="72"/>
      <c r="K1663" s="36"/>
      <c r="L1663" s="79">
        <v>1663</v>
      </c>
      <c r="M1663" s="79"/>
      <c r="N1663" s="74"/>
      <c r="O1663" s="81" t="s">
        <v>1235</v>
      </c>
    </row>
    <row r="1664" spans="1:15" ht="15">
      <c r="A1664" s="66" t="s">
        <v>227</v>
      </c>
      <c r="B1664" s="66" t="s">
        <v>1223</v>
      </c>
      <c r="C1664" s="67"/>
      <c r="D1664" s="68"/>
      <c r="E1664" s="69"/>
      <c r="F1664" s="70"/>
      <c r="G1664" s="67"/>
      <c r="H1664" s="71"/>
      <c r="I1664" s="72"/>
      <c r="J1664" s="72"/>
      <c r="K1664" s="36"/>
      <c r="L1664" s="79">
        <v>1664</v>
      </c>
      <c r="M1664" s="79"/>
      <c r="N1664" s="74"/>
      <c r="O1664" s="81" t="s">
        <v>1235</v>
      </c>
    </row>
    <row r="1665" spans="1:15" ht="15">
      <c r="A1665" s="66" t="s">
        <v>218</v>
      </c>
      <c r="B1665" s="66" t="s">
        <v>1224</v>
      </c>
      <c r="C1665" s="67"/>
      <c r="D1665" s="68"/>
      <c r="E1665" s="69"/>
      <c r="F1665" s="70"/>
      <c r="G1665" s="67"/>
      <c r="H1665" s="71"/>
      <c r="I1665" s="72"/>
      <c r="J1665" s="72"/>
      <c r="K1665" s="36"/>
      <c r="L1665" s="79">
        <v>1665</v>
      </c>
      <c r="M1665" s="79"/>
      <c r="N1665" s="74"/>
      <c r="O1665" s="81" t="s">
        <v>1235</v>
      </c>
    </row>
    <row r="1666" spans="1:15" ht="15">
      <c r="A1666" s="66" t="s">
        <v>227</v>
      </c>
      <c r="B1666" s="66" t="s">
        <v>1224</v>
      </c>
      <c r="C1666" s="67"/>
      <c r="D1666" s="68"/>
      <c r="E1666" s="69"/>
      <c r="F1666" s="70"/>
      <c r="G1666" s="67"/>
      <c r="H1666" s="71"/>
      <c r="I1666" s="72"/>
      <c r="J1666" s="72"/>
      <c r="K1666" s="36"/>
      <c r="L1666" s="79">
        <v>1666</v>
      </c>
      <c r="M1666" s="79"/>
      <c r="N1666" s="74"/>
      <c r="O1666" s="81" t="s">
        <v>1235</v>
      </c>
    </row>
    <row r="1667" spans="1:15" ht="15">
      <c r="A1667" s="66" t="s">
        <v>227</v>
      </c>
      <c r="B1667" s="66" t="s">
        <v>1225</v>
      </c>
      <c r="C1667" s="67"/>
      <c r="D1667" s="68"/>
      <c r="E1667" s="69"/>
      <c r="F1667" s="70"/>
      <c r="G1667" s="67"/>
      <c r="H1667" s="71"/>
      <c r="I1667" s="72"/>
      <c r="J1667" s="72"/>
      <c r="K1667" s="36"/>
      <c r="L1667" s="79">
        <v>1667</v>
      </c>
      <c r="M1667" s="79"/>
      <c r="N1667" s="74"/>
      <c r="O1667" s="81" t="s">
        <v>1235</v>
      </c>
    </row>
    <row r="1668" spans="1:15" ht="15">
      <c r="A1668" s="66" t="s">
        <v>188</v>
      </c>
      <c r="B1668" s="66" t="s">
        <v>223</v>
      </c>
      <c r="C1668" s="67"/>
      <c r="D1668" s="68"/>
      <c r="E1668" s="69"/>
      <c r="F1668" s="70"/>
      <c r="G1668" s="67"/>
      <c r="H1668" s="71"/>
      <c r="I1668" s="72"/>
      <c r="J1668" s="72"/>
      <c r="K1668" s="36"/>
      <c r="L1668" s="79">
        <v>1668</v>
      </c>
      <c r="M1668" s="79"/>
      <c r="N1668" s="74"/>
      <c r="O1668" s="81" t="s">
        <v>1235</v>
      </c>
    </row>
    <row r="1669" spans="1:15" ht="15">
      <c r="A1669" s="66" t="s">
        <v>188</v>
      </c>
      <c r="B1669" s="66" t="s">
        <v>225</v>
      </c>
      <c r="C1669" s="67"/>
      <c r="D1669" s="68"/>
      <c r="E1669" s="69"/>
      <c r="F1669" s="70"/>
      <c r="G1669" s="67"/>
      <c r="H1669" s="71"/>
      <c r="I1669" s="72"/>
      <c r="J1669" s="72"/>
      <c r="K1669" s="36"/>
      <c r="L1669" s="79">
        <v>1669</v>
      </c>
      <c r="M1669" s="79"/>
      <c r="N1669" s="74"/>
      <c r="O1669" s="81" t="s">
        <v>1235</v>
      </c>
    </row>
    <row r="1670" spans="1:15" ht="15">
      <c r="A1670" s="66" t="s">
        <v>188</v>
      </c>
      <c r="B1670" s="66" t="s">
        <v>227</v>
      </c>
      <c r="C1670" s="67"/>
      <c r="D1670" s="68"/>
      <c r="E1670" s="69"/>
      <c r="F1670" s="70"/>
      <c r="G1670" s="67"/>
      <c r="H1670" s="71"/>
      <c r="I1670" s="72"/>
      <c r="J1670" s="72"/>
      <c r="K1670" s="36"/>
      <c r="L1670" s="79">
        <v>1670</v>
      </c>
      <c r="M1670" s="79"/>
      <c r="N1670" s="74"/>
      <c r="O1670" s="81" t="s">
        <v>1235</v>
      </c>
    </row>
    <row r="1671" spans="1:15" ht="15">
      <c r="A1671" s="66" t="s">
        <v>188</v>
      </c>
      <c r="B1671" s="66" t="s">
        <v>226</v>
      </c>
      <c r="C1671" s="67"/>
      <c r="D1671" s="68"/>
      <c r="E1671" s="69"/>
      <c r="F1671" s="70"/>
      <c r="G1671" s="67"/>
      <c r="H1671" s="71"/>
      <c r="I1671" s="72"/>
      <c r="J1671" s="72"/>
      <c r="K1671" s="36"/>
      <c r="L1671" s="79">
        <v>1671</v>
      </c>
      <c r="M1671" s="79"/>
      <c r="N1671" s="74"/>
      <c r="O1671" s="81" t="s">
        <v>1235</v>
      </c>
    </row>
    <row r="1672" spans="1:15" ht="15">
      <c r="A1672" s="66" t="s">
        <v>188</v>
      </c>
      <c r="B1672" s="66" t="s">
        <v>220</v>
      </c>
      <c r="C1672" s="67"/>
      <c r="D1672" s="68"/>
      <c r="E1672" s="69"/>
      <c r="F1672" s="70"/>
      <c r="G1672" s="67"/>
      <c r="H1672" s="71"/>
      <c r="I1672" s="72"/>
      <c r="J1672" s="72"/>
      <c r="K1672" s="36"/>
      <c r="L1672" s="79">
        <v>1672</v>
      </c>
      <c r="M1672" s="79"/>
      <c r="N1672" s="74"/>
      <c r="O1672" s="81" t="s">
        <v>1235</v>
      </c>
    </row>
    <row r="1673" spans="1:15" ht="15">
      <c r="A1673" s="66" t="s">
        <v>188</v>
      </c>
      <c r="B1673" s="66" t="s">
        <v>224</v>
      </c>
      <c r="C1673" s="67"/>
      <c r="D1673" s="68"/>
      <c r="E1673" s="69"/>
      <c r="F1673" s="70"/>
      <c r="G1673" s="67"/>
      <c r="H1673" s="71"/>
      <c r="I1673" s="72"/>
      <c r="J1673" s="72"/>
      <c r="K1673" s="36"/>
      <c r="L1673" s="79">
        <v>1673</v>
      </c>
      <c r="M1673" s="79"/>
      <c r="N1673" s="74"/>
      <c r="O1673" s="81" t="s">
        <v>1235</v>
      </c>
    </row>
    <row r="1674" spans="1:15" ht="15">
      <c r="A1674" s="66" t="s">
        <v>224</v>
      </c>
      <c r="B1674" s="66" t="s">
        <v>188</v>
      </c>
      <c r="C1674" s="67"/>
      <c r="D1674" s="68"/>
      <c r="E1674" s="69"/>
      <c r="F1674" s="70"/>
      <c r="G1674" s="67"/>
      <c r="H1674" s="71"/>
      <c r="I1674" s="72"/>
      <c r="J1674" s="72"/>
      <c r="K1674" s="36"/>
      <c r="L1674" s="79">
        <v>1674</v>
      </c>
      <c r="M1674" s="79"/>
      <c r="N1674" s="74"/>
      <c r="O1674" s="81" t="s">
        <v>1235</v>
      </c>
    </row>
    <row r="1675" spans="1:15" ht="15">
      <c r="A1675" s="66" t="s">
        <v>227</v>
      </c>
      <c r="B1675" s="66" t="s">
        <v>188</v>
      </c>
      <c r="C1675" s="67"/>
      <c r="D1675" s="68"/>
      <c r="E1675" s="69"/>
      <c r="F1675" s="70"/>
      <c r="G1675" s="67"/>
      <c r="H1675" s="71"/>
      <c r="I1675" s="72"/>
      <c r="J1675" s="72"/>
      <c r="K1675" s="36"/>
      <c r="L1675" s="79">
        <v>1675</v>
      </c>
      <c r="M1675" s="79"/>
      <c r="N1675" s="74"/>
      <c r="O1675" s="81" t="s">
        <v>1235</v>
      </c>
    </row>
    <row r="1676" spans="1:15" ht="15">
      <c r="A1676" s="66" t="s">
        <v>227</v>
      </c>
      <c r="B1676" s="66" t="s">
        <v>1216</v>
      </c>
      <c r="C1676" s="67"/>
      <c r="D1676" s="68"/>
      <c r="E1676" s="69"/>
      <c r="F1676" s="70"/>
      <c r="G1676" s="67"/>
      <c r="H1676" s="71"/>
      <c r="I1676" s="72"/>
      <c r="J1676" s="72"/>
      <c r="K1676" s="36"/>
      <c r="L1676" s="79">
        <v>1676</v>
      </c>
      <c r="M1676" s="79"/>
      <c r="N1676" s="74"/>
      <c r="O1676" s="81" t="s">
        <v>1235</v>
      </c>
    </row>
    <row r="1677" spans="1:15" ht="15">
      <c r="A1677" s="66" t="s">
        <v>227</v>
      </c>
      <c r="B1677" s="66" t="s">
        <v>1226</v>
      </c>
      <c r="C1677" s="67"/>
      <c r="D1677" s="68"/>
      <c r="E1677" s="69"/>
      <c r="F1677" s="70"/>
      <c r="G1677" s="67"/>
      <c r="H1677" s="71"/>
      <c r="I1677" s="72"/>
      <c r="J1677" s="72"/>
      <c r="K1677" s="36"/>
      <c r="L1677" s="79">
        <v>1677</v>
      </c>
      <c r="M1677" s="79"/>
      <c r="N1677" s="74"/>
      <c r="O1677" s="81" t="s">
        <v>1235</v>
      </c>
    </row>
    <row r="1678" spans="1:15" ht="15">
      <c r="A1678" s="66" t="s">
        <v>227</v>
      </c>
      <c r="B1678" s="66" t="s">
        <v>1227</v>
      </c>
      <c r="C1678" s="67"/>
      <c r="D1678" s="68"/>
      <c r="E1678" s="69"/>
      <c r="F1678" s="70"/>
      <c r="G1678" s="67"/>
      <c r="H1678" s="71"/>
      <c r="I1678" s="72"/>
      <c r="J1678" s="72"/>
      <c r="K1678" s="36"/>
      <c r="L1678" s="79">
        <v>1678</v>
      </c>
      <c r="M1678" s="79"/>
      <c r="N1678" s="74"/>
      <c r="O1678" s="81" t="s">
        <v>1235</v>
      </c>
    </row>
    <row r="1679" spans="1:15" ht="15">
      <c r="A1679" s="66" t="s">
        <v>221</v>
      </c>
      <c r="B1679" s="66" t="s">
        <v>1219</v>
      </c>
      <c r="C1679" s="67"/>
      <c r="D1679" s="68"/>
      <c r="E1679" s="69"/>
      <c r="F1679" s="70"/>
      <c r="G1679" s="67"/>
      <c r="H1679" s="71"/>
      <c r="I1679" s="72"/>
      <c r="J1679" s="72"/>
      <c r="K1679" s="36"/>
      <c r="L1679" s="79">
        <v>1679</v>
      </c>
      <c r="M1679" s="79"/>
      <c r="N1679" s="74"/>
      <c r="O1679" s="81" t="s">
        <v>1235</v>
      </c>
    </row>
    <row r="1680" spans="1:15" ht="15">
      <c r="A1680" s="66" t="s">
        <v>223</v>
      </c>
      <c r="B1680" s="66" t="s">
        <v>1219</v>
      </c>
      <c r="C1680" s="67"/>
      <c r="D1680" s="68"/>
      <c r="E1680" s="69"/>
      <c r="F1680" s="70"/>
      <c r="G1680" s="67"/>
      <c r="H1680" s="71"/>
      <c r="I1680" s="72"/>
      <c r="J1680" s="72"/>
      <c r="K1680" s="36"/>
      <c r="L1680" s="79">
        <v>1680</v>
      </c>
      <c r="M1680" s="79"/>
      <c r="N1680" s="74"/>
      <c r="O1680" s="81" t="s">
        <v>1235</v>
      </c>
    </row>
    <row r="1681" spans="1:15" ht="15">
      <c r="A1681" s="66" t="s">
        <v>224</v>
      </c>
      <c r="B1681" s="66" t="s">
        <v>1219</v>
      </c>
      <c r="C1681" s="67"/>
      <c r="D1681" s="68"/>
      <c r="E1681" s="69"/>
      <c r="F1681" s="70"/>
      <c r="G1681" s="67"/>
      <c r="H1681" s="71"/>
      <c r="I1681" s="72"/>
      <c r="J1681" s="72"/>
      <c r="K1681" s="36"/>
      <c r="L1681" s="79">
        <v>1681</v>
      </c>
      <c r="M1681" s="79"/>
      <c r="N1681" s="74"/>
      <c r="O1681" s="81" t="s">
        <v>1235</v>
      </c>
    </row>
    <row r="1682" spans="1:15" ht="15">
      <c r="A1682" s="66" t="s">
        <v>225</v>
      </c>
      <c r="B1682" s="66" t="s">
        <v>1219</v>
      </c>
      <c r="C1682" s="67"/>
      <c r="D1682" s="68"/>
      <c r="E1682" s="69"/>
      <c r="F1682" s="70"/>
      <c r="G1682" s="67"/>
      <c r="H1682" s="71"/>
      <c r="I1682" s="72"/>
      <c r="J1682" s="72"/>
      <c r="K1682" s="36"/>
      <c r="L1682" s="79">
        <v>1682</v>
      </c>
      <c r="M1682" s="79"/>
      <c r="N1682" s="74"/>
      <c r="O1682" s="81" t="s">
        <v>1235</v>
      </c>
    </row>
    <row r="1683" spans="1:15" ht="15">
      <c r="A1683" s="66" t="s">
        <v>227</v>
      </c>
      <c r="B1683" s="66" t="s">
        <v>1219</v>
      </c>
      <c r="C1683" s="67"/>
      <c r="D1683" s="68"/>
      <c r="E1683" s="69"/>
      <c r="F1683" s="70"/>
      <c r="G1683" s="67"/>
      <c r="H1683" s="71"/>
      <c r="I1683" s="72"/>
      <c r="J1683" s="72"/>
      <c r="K1683" s="36"/>
      <c r="L1683" s="79">
        <v>1683</v>
      </c>
      <c r="M1683" s="79"/>
      <c r="N1683" s="74"/>
      <c r="O1683" s="81" t="s">
        <v>1235</v>
      </c>
    </row>
    <row r="1684" spans="1:15" ht="15">
      <c r="A1684" s="66" t="s">
        <v>227</v>
      </c>
      <c r="B1684" s="66" t="s">
        <v>1228</v>
      </c>
      <c r="C1684" s="67"/>
      <c r="D1684" s="68"/>
      <c r="E1684" s="69"/>
      <c r="F1684" s="70"/>
      <c r="G1684" s="67"/>
      <c r="H1684" s="71"/>
      <c r="I1684" s="72"/>
      <c r="J1684" s="72"/>
      <c r="K1684" s="36"/>
      <c r="L1684" s="79">
        <v>1684</v>
      </c>
      <c r="M1684" s="79"/>
      <c r="N1684" s="74"/>
      <c r="O1684" s="81" t="s">
        <v>1235</v>
      </c>
    </row>
    <row r="1685" spans="1:15" ht="15">
      <c r="A1685" s="66" t="s">
        <v>218</v>
      </c>
      <c r="B1685" s="66" t="s">
        <v>694</v>
      </c>
      <c r="C1685" s="67"/>
      <c r="D1685" s="68"/>
      <c r="E1685" s="69"/>
      <c r="F1685" s="70"/>
      <c r="G1685" s="67"/>
      <c r="H1685" s="71"/>
      <c r="I1685" s="72"/>
      <c r="J1685" s="72"/>
      <c r="K1685" s="36"/>
      <c r="L1685" s="79">
        <v>1685</v>
      </c>
      <c r="M1685" s="79"/>
      <c r="N1685" s="74"/>
      <c r="O1685" s="81" t="s">
        <v>1235</v>
      </c>
    </row>
    <row r="1686" spans="1:15" ht="15">
      <c r="A1686" s="66" t="s">
        <v>221</v>
      </c>
      <c r="B1686" s="66" t="s">
        <v>694</v>
      </c>
      <c r="C1686" s="67"/>
      <c r="D1686" s="68"/>
      <c r="E1686" s="69"/>
      <c r="F1686" s="70"/>
      <c r="G1686" s="67"/>
      <c r="H1686" s="71"/>
      <c r="I1686" s="72"/>
      <c r="J1686" s="72"/>
      <c r="K1686" s="36"/>
      <c r="L1686" s="79">
        <v>1686</v>
      </c>
      <c r="M1686" s="79"/>
      <c r="N1686" s="74"/>
      <c r="O1686" s="81" t="s">
        <v>1235</v>
      </c>
    </row>
    <row r="1687" spans="1:15" ht="15">
      <c r="A1687" s="66" t="s">
        <v>227</v>
      </c>
      <c r="B1687" s="66" t="s">
        <v>694</v>
      </c>
      <c r="C1687" s="67"/>
      <c r="D1687" s="68"/>
      <c r="E1687" s="69"/>
      <c r="F1687" s="70"/>
      <c r="G1687" s="67"/>
      <c r="H1687" s="71"/>
      <c r="I1687" s="72"/>
      <c r="J1687" s="72"/>
      <c r="K1687" s="36"/>
      <c r="L1687" s="79">
        <v>1687</v>
      </c>
      <c r="M1687" s="79"/>
      <c r="N1687" s="74"/>
      <c r="O1687" s="81" t="s">
        <v>1235</v>
      </c>
    </row>
    <row r="1688" spans="1:15" ht="15">
      <c r="A1688" s="66" t="s">
        <v>193</v>
      </c>
      <c r="B1688" s="66" t="s">
        <v>225</v>
      </c>
      <c r="C1688" s="67"/>
      <c r="D1688" s="68"/>
      <c r="E1688" s="69"/>
      <c r="F1688" s="70"/>
      <c r="G1688" s="67"/>
      <c r="H1688" s="71"/>
      <c r="I1688" s="72"/>
      <c r="J1688" s="72"/>
      <c r="K1688" s="36"/>
      <c r="L1688" s="79">
        <v>1688</v>
      </c>
      <c r="M1688" s="79"/>
      <c r="N1688" s="74"/>
      <c r="O1688" s="81" t="s">
        <v>1235</v>
      </c>
    </row>
    <row r="1689" spans="1:15" ht="15">
      <c r="A1689" s="66" t="s">
        <v>207</v>
      </c>
      <c r="B1689" s="66" t="s">
        <v>225</v>
      </c>
      <c r="C1689" s="67"/>
      <c r="D1689" s="68"/>
      <c r="E1689" s="69"/>
      <c r="F1689" s="70"/>
      <c r="G1689" s="67"/>
      <c r="H1689" s="71"/>
      <c r="I1689" s="72"/>
      <c r="J1689" s="72"/>
      <c r="K1689" s="36"/>
      <c r="L1689" s="79">
        <v>1689</v>
      </c>
      <c r="M1689" s="79"/>
      <c r="N1689" s="74"/>
      <c r="O1689" s="81" t="s">
        <v>1235</v>
      </c>
    </row>
    <row r="1690" spans="1:15" ht="15">
      <c r="A1690" s="66" t="s">
        <v>218</v>
      </c>
      <c r="B1690" s="66" t="s">
        <v>225</v>
      </c>
      <c r="C1690" s="67"/>
      <c r="D1690" s="68"/>
      <c r="E1690" s="69"/>
      <c r="F1690" s="70"/>
      <c r="G1690" s="67"/>
      <c r="H1690" s="71"/>
      <c r="I1690" s="72"/>
      <c r="J1690" s="72"/>
      <c r="K1690" s="36"/>
      <c r="L1690" s="79">
        <v>1690</v>
      </c>
      <c r="M1690" s="79"/>
      <c r="N1690" s="74"/>
      <c r="O1690" s="81" t="s">
        <v>1235</v>
      </c>
    </row>
    <row r="1691" spans="1:15" ht="15">
      <c r="A1691" s="66" t="s">
        <v>219</v>
      </c>
      <c r="B1691" s="66" t="s">
        <v>225</v>
      </c>
      <c r="C1691" s="67"/>
      <c r="D1691" s="68"/>
      <c r="E1691" s="69"/>
      <c r="F1691" s="70"/>
      <c r="G1691" s="67"/>
      <c r="H1691" s="71"/>
      <c r="I1691" s="72"/>
      <c r="J1691" s="72"/>
      <c r="K1691" s="36"/>
      <c r="L1691" s="79">
        <v>1691</v>
      </c>
      <c r="M1691" s="79"/>
      <c r="N1691" s="74"/>
      <c r="O1691" s="81" t="s">
        <v>1235</v>
      </c>
    </row>
    <row r="1692" spans="1:15" ht="15">
      <c r="A1692" s="66" t="s">
        <v>221</v>
      </c>
      <c r="B1692" s="66" t="s">
        <v>225</v>
      </c>
      <c r="C1692" s="67"/>
      <c r="D1692" s="68"/>
      <c r="E1692" s="69"/>
      <c r="F1692" s="70"/>
      <c r="G1692" s="67"/>
      <c r="H1692" s="71"/>
      <c r="I1692" s="72"/>
      <c r="J1692" s="72"/>
      <c r="K1692" s="36"/>
      <c r="L1692" s="79">
        <v>1692</v>
      </c>
      <c r="M1692" s="79"/>
      <c r="N1692" s="74"/>
      <c r="O1692" s="81" t="s">
        <v>1235</v>
      </c>
    </row>
    <row r="1693" spans="1:15" ht="15">
      <c r="A1693" s="66" t="s">
        <v>223</v>
      </c>
      <c r="B1693" s="66" t="s">
        <v>225</v>
      </c>
      <c r="C1693" s="67"/>
      <c r="D1693" s="68"/>
      <c r="E1693" s="69"/>
      <c r="F1693" s="70"/>
      <c r="G1693" s="67"/>
      <c r="H1693" s="71"/>
      <c r="I1693" s="72"/>
      <c r="J1693" s="72"/>
      <c r="K1693" s="36"/>
      <c r="L1693" s="79">
        <v>1693</v>
      </c>
      <c r="M1693" s="79"/>
      <c r="N1693" s="74"/>
      <c r="O1693" s="81" t="s">
        <v>1235</v>
      </c>
    </row>
    <row r="1694" spans="1:15" ht="15">
      <c r="A1694" s="66" t="s">
        <v>224</v>
      </c>
      <c r="B1694" s="66" t="s">
        <v>225</v>
      </c>
      <c r="C1694" s="67"/>
      <c r="D1694" s="68"/>
      <c r="E1694" s="69"/>
      <c r="F1694" s="70"/>
      <c r="G1694" s="67"/>
      <c r="H1694" s="71"/>
      <c r="I1694" s="72"/>
      <c r="J1694" s="72"/>
      <c r="K1694" s="36"/>
      <c r="L1694" s="79">
        <v>1694</v>
      </c>
      <c r="M1694" s="79"/>
      <c r="N1694" s="74"/>
      <c r="O1694" s="81" t="s">
        <v>1235</v>
      </c>
    </row>
    <row r="1695" spans="1:15" ht="15">
      <c r="A1695" s="66" t="s">
        <v>225</v>
      </c>
      <c r="B1695" s="66" t="s">
        <v>295</v>
      </c>
      <c r="C1695" s="67"/>
      <c r="D1695" s="68"/>
      <c r="E1695" s="69"/>
      <c r="F1695" s="70"/>
      <c r="G1695" s="67"/>
      <c r="H1695" s="71"/>
      <c r="I1695" s="72"/>
      <c r="J1695" s="72"/>
      <c r="K1695" s="36"/>
      <c r="L1695" s="79">
        <v>1695</v>
      </c>
      <c r="M1695" s="79"/>
      <c r="N1695" s="74"/>
      <c r="O1695" s="81" t="s">
        <v>1235</v>
      </c>
    </row>
    <row r="1696" spans="1:15" ht="15">
      <c r="A1696" s="66" t="s">
        <v>225</v>
      </c>
      <c r="B1696" s="66" t="s">
        <v>223</v>
      </c>
      <c r="C1696" s="67"/>
      <c r="D1696" s="68"/>
      <c r="E1696" s="69"/>
      <c r="F1696" s="70"/>
      <c r="G1696" s="67"/>
      <c r="H1696" s="71"/>
      <c r="I1696" s="72"/>
      <c r="J1696" s="72"/>
      <c r="K1696" s="36"/>
      <c r="L1696" s="79">
        <v>1696</v>
      </c>
      <c r="M1696" s="79"/>
      <c r="N1696" s="74"/>
      <c r="O1696" s="81" t="s">
        <v>1235</v>
      </c>
    </row>
    <row r="1697" spans="1:15" ht="15">
      <c r="A1697" s="66" t="s">
        <v>225</v>
      </c>
      <c r="B1697" s="66" t="s">
        <v>971</v>
      </c>
      <c r="C1697" s="67"/>
      <c r="D1697" s="68"/>
      <c r="E1697" s="69"/>
      <c r="F1697" s="70"/>
      <c r="G1697" s="67"/>
      <c r="H1697" s="71"/>
      <c r="I1697" s="72"/>
      <c r="J1697" s="72"/>
      <c r="K1697" s="36"/>
      <c r="L1697" s="79">
        <v>1697</v>
      </c>
      <c r="M1697" s="79"/>
      <c r="N1697" s="74"/>
      <c r="O1697" s="81" t="s">
        <v>1235</v>
      </c>
    </row>
    <row r="1698" spans="1:15" ht="15">
      <c r="A1698" s="66" t="s">
        <v>225</v>
      </c>
      <c r="B1698" s="66" t="s">
        <v>484</v>
      </c>
      <c r="C1698" s="67"/>
      <c r="D1698" s="68"/>
      <c r="E1698" s="69"/>
      <c r="F1698" s="70"/>
      <c r="G1698" s="67"/>
      <c r="H1698" s="71"/>
      <c r="I1698" s="72"/>
      <c r="J1698" s="72"/>
      <c r="K1698" s="36"/>
      <c r="L1698" s="79">
        <v>1698</v>
      </c>
      <c r="M1698" s="79"/>
      <c r="N1698" s="74"/>
      <c r="O1698" s="81" t="s">
        <v>1235</v>
      </c>
    </row>
    <row r="1699" spans="1:15" ht="15">
      <c r="A1699" s="66" t="s">
        <v>225</v>
      </c>
      <c r="B1699" s="66" t="s">
        <v>219</v>
      </c>
      <c r="C1699" s="67"/>
      <c r="D1699" s="68"/>
      <c r="E1699" s="69"/>
      <c r="F1699" s="70"/>
      <c r="G1699" s="67"/>
      <c r="H1699" s="71"/>
      <c r="I1699" s="72"/>
      <c r="J1699" s="72"/>
      <c r="K1699" s="36"/>
      <c r="L1699" s="79">
        <v>1699</v>
      </c>
      <c r="M1699" s="79"/>
      <c r="N1699" s="74"/>
      <c r="O1699" s="81" t="s">
        <v>1235</v>
      </c>
    </row>
    <row r="1700" spans="1:15" ht="15">
      <c r="A1700" s="66" t="s">
        <v>225</v>
      </c>
      <c r="B1700" s="66" t="s">
        <v>221</v>
      </c>
      <c r="C1700" s="67"/>
      <c r="D1700" s="68"/>
      <c r="E1700" s="69"/>
      <c r="F1700" s="70"/>
      <c r="G1700" s="67"/>
      <c r="H1700" s="71"/>
      <c r="I1700" s="72"/>
      <c r="J1700" s="72"/>
      <c r="K1700" s="36"/>
      <c r="L1700" s="79">
        <v>1700</v>
      </c>
      <c r="M1700" s="79"/>
      <c r="N1700" s="74"/>
      <c r="O1700" s="81" t="s">
        <v>1235</v>
      </c>
    </row>
    <row r="1701" spans="1:15" ht="15">
      <c r="A1701" s="66" t="s">
        <v>225</v>
      </c>
      <c r="B1701" s="66" t="s">
        <v>220</v>
      </c>
      <c r="C1701" s="67"/>
      <c r="D1701" s="68"/>
      <c r="E1701" s="69"/>
      <c r="F1701" s="70"/>
      <c r="G1701" s="67"/>
      <c r="H1701" s="71"/>
      <c r="I1701" s="72"/>
      <c r="J1701" s="72"/>
      <c r="K1701" s="36"/>
      <c r="L1701" s="79">
        <v>1701</v>
      </c>
      <c r="M1701" s="79"/>
      <c r="N1701" s="74"/>
      <c r="O1701" s="81" t="s">
        <v>1235</v>
      </c>
    </row>
    <row r="1702" spans="1:15" ht="15">
      <c r="A1702" s="66" t="s">
        <v>225</v>
      </c>
      <c r="B1702" s="66" t="s">
        <v>227</v>
      </c>
      <c r="C1702" s="67"/>
      <c r="D1702" s="68"/>
      <c r="E1702" s="69"/>
      <c r="F1702" s="70"/>
      <c r="G1702" s="67"/>
      <c r="H1702" s="71"/>
      <c r="I1702" s="72"/>
      <c r="J1702" s="72"/>
      <c r="K1702" s="36"/>
      <c r="L1702" s="79">
        <v>1702</v>
      </c>
      <c r="M1702" s="79"/>
      <c r="N1702" s="74"/>
      <c r="O1702" s="81" t="s">
        <v>1235</v>
      </c>
    </row>
    <row r="1703" spans="1:15" ht="15">
      <c r="A1703" s="66" t="s">
        <v>225</v>
      </c>
      <c r="B1703" s="66" t="s">
        <v>1151</v>
      </c>
      <c r="C1703" s="67"/>
      <c r="D1703" s="68"/>
      <c r="E1703" s="69"/>
      <c r="F1703" s="70"/>
      <c r="G1703" s="67"/>
      <c r="H1703" s="71"/>
      <c r="I1703" s="72"/>
      <c r="J1703" s="72"/>
      <c r="K1703" s="36"/>
      <c r="L1703" s="79">
        <v>1703</v>
      </c>
      <c r="M1703" s="79"/>
      <c r="N1703" s="74"/>
      <c r="O1703" s="81" t="s">
        <v>1235</v>
      </c>
    </row>
    <row r="1704" spans="1:15" ht="15">
      <c r="A1704" s="66" t="s">
        <v>225</v>
      </c>
      <c r="B1704" s="66" t="s">
        <v>218</v>
      </c>
      <c r="C1704" s="67"/>
      <c r="D1704" s="68"/>
      <c r="E1704" s="69"/>
      <c r="F1704" s="70"/>
      <c r="G1704" s="67"/>
      <c r="H1704" s="71"/>
      <c r="I1704" s="72"/>
      <c r="J1704" s="72"/>
      <c r="K1704" s="36"/>
      <c r="L1704" s="79">
        <v>1704</v>
      </c>
      <c r="M1704" s="79"/>
      <c r="N1704" s="74"/>
      <c r="O1704" s="81" t="s">
        <v>1235</v>
      </c>
    </row>
    <row r="1705" spans="1:15" ht="15">
      <c r="A1705" s="66" t="s">
        <v>225</v>
      </c>
      <c r="B1705" s="66" t="s">
        <v>224</v>
      </c>
      <c r="C1705" s="67"/>
      <c r="D1705" s="68"/>
      <c r="E1705" s="69"/>
      <c r="F1705" s="70"/>
      <c r="G1705" s="67"/>
      <c r="H1705" s="71"/>
      <c r="I1705" s="72"/>
      <c r="J1705" s="72"/>
      <c r="K1705" s="36"/>
      <c r="L1705" s="79">
        <v>1705</v>
      </c>
      <c r="M1705" s="79"/>
      <c r="N1705" s="74"/>
      <c r="O1705" s="81" t="s">
        <v>1235</v>
      </c>
    </row>
    <row r="1706" spans="1:15" ht="15">
      <c r="A1706" s="66" t="s">
        <v>227</v>
      </c>
      <c r="B1706" s="66" t="s">
        <v>225</v>
      </c>
      <c r="C1706" s="67"/>
      <c r="D1706" s="68"/>
      <c r="E1706" s="69"/>
      <c r="F1706" s="70"/>
      <c r="G1706" s="67"/>
      <c r="H1706" s="71"/>
      <c r="I1706" s="72"/>
      <c r="J1706" s="72"/>
      <c r="K1706" s="36"/>
      <c r="L1706" s="79">
        <v>1706</v>
      </c>
      <c r="M1706" s="79"/>
      <c r="N1706" s="74"/>
      <c r="O1706" s="81" t="s">
        <v>1235</v>
      </c>
    </row>
    <row r="1707" spans="1:15" ht="15">
      <c r="A1707" s="66" t="s">
        <v>227</v>
      </c>
      <c r="B1707" s="66" t="s">
        <v>1229</v>
      </c>
      <c r="C1707" s="67"/>
      <c r="D1707" s="68"/>
      <c r="E1707" s="69"/>
      <c r="F1707" s="70"/>
      <c r="G1707" s="67"/>
      <c r="H1707" s="71"/>
      <c r="I1707" s="72"/>
      <c r="J1707" s="72"/>
      <c r="K1707" s="36"/>
      <c r="L1707" s="79">
        <v>1707</v>
      </c>
      <c r="M1707" s="79"/>
      <c r="N1707" s="74"/>
      <c r="O1707" s="81" t="s">
        <v>1235</v>
      </c>
    </row>
    <row r="1708" spans="1:15" ht="15">
      <c r="A1708" s="66" t="s">
        <v>227</v>
      </c>
      <c r="B1708" s="66" t="s">
        <v>1230</v>
      </c>
      <c r="C1708" s="67"/>
      <c r="D1708" s="68"/>
      <c r="E1708" s="69"/>
      <c r="F1708" s="70"/>
      <c r="G1708" s="67"/>
      <c r="H1708" s="71"/>
      <c r="I1708" s="72"/>
      <c r="J1708" s="72"/>
      <c r="K1708" s="36"/>
      <c r="L1708" s="79">
        <v>1708</v>
      </c>
      <c r="M1708" s="79"/>
      <c r="N1708" s="74"/>
      <c r="O1708" s="81" t="s">
        <v>1235</v>
      </c>
    </row>
    <row r="1709" spans="1:15" ht="15">
      <c r="A1709" s="66" t="s">
        <v>227</v>
      </c>
      <c r="B1709" s="66" t="s">
        <v>1231</v>
      </c>
      <c r="C1709" s="67"/>
      <c r="D1709" s="68"/>
      <c r="E1709" s="69"/>
      <c r="F1709" s="70"/>
      <c r="G1709" s="67"/>
      <c r="H1709" s="71"/>
      <c r="I1709" s="72"/>
      <c r="J1709" s="72"/>
      <c r="K1709" s="36"/>
      <c r="L1709" s="79">
        <v>1709</v>
      </c>
      <c r="M1709" s="79"/>
      <c r="N1709" s="74"/>
      <c r="O1709" s="81" t="s">
        <v>1235</v>
      </c>
    </row>
    <row r="1710" spans="1:15" ht="15">
      <c r="A1710" s="66" t="s">
        <v>227</v>
      </c>
      <c r="B1710" s="66" t="s">
        <v>1232</v>
      </c>
      <c r="C1710" s="67"/>
      <c r="D1710" s="68"/>
      <c r="E1710" s="69"/>
      <c r="F1710" s="70"/>
      <c r="G1710" s="67"/>
      <c r="H1710" s="71"/>
      <c r="I1710" s="72"/>
      <c r="J1710" s="72"/>
      <c r="K1710" s="36"/>
      <c r="L1710" s="79">
        <v>1710</v>
      </c>
      <c r="M1710" s="79"/>
      <c r="N1710" s="74"/>
      <c r="O1710" s="81" t="s">
        <v>1235</v>
      </c>
    </row>
    <row r="1711" spans="1:15" ht="15">
      <c r="A1711" s="66" t="s">
        <v>227</v>
      </c>
      <c r="B1711" s="66" t="s">
        <v>389</v>
      </c>
      <c r="C1711" s="67"/>
      <c r="D1711" s="68"/>
      <c r="E1711" s="69"/>
      <c r="F1711" s="70"/>
      <c r="G1711" s="67"/>
      <c r="H1711" s="71"/>
      <c r="I1711" s="72"/>
      <c r="J1711" s="72"/>
      <c r="K1711" s="36"/>
      <c r="L1711" s="79">
        <v>1711</v>
      </c>
      <c r="M1711" s="79"/>
      <c r="N1711" s="74"/>
      <c r="O1711" s="81" t="s">
        <v>1235</v>
      </c>
    </row>
    <row r="1712" spans="1:15" ht="15">
      <c r="A1712" s="66" t="s">
        <v>224</v>
      </c>
      <c r="B1712" s="66" t="s">
        <v>348</v>
      </c>
      <c r="C1712" s="67"/>
      <c r="D1712" s="68"/>
      <c r="E1712" s="69"/>
      <c r="F1712" s="70"/>
      <c r="G1712" s="67"/>
      <c r="H1712" s="71"/>
      <c r="I1712" s="72"/>
      <c r="J1712" s="72"/>
      <c r="K1712" s="36"/>
      <c r="L1712" s="79">
        <v>1712</v>
      </c>
      <c r="M1712" s="79"/>
      <c r="N1712" s="74"/>
      <c r="O1712" s="81" t="s">
        <v>1235</v>
      </c>
    </row>
    <row r="1713" spans="1:15" ht="15">
      <c r="A1713" s="66" t="s">
        <v>227</v>
      </c>
      <c r="B1713" s="66" t="s">
        <v>348</v>
      </c>
      <c r="C1713" s="67"/>
      <c r="D1713" s="68"/>
      <c r="E1713" s="69"/>
      <c r="F1713" s="70"/>
      <c r="G1713" s="67"/>
      <c r="H1713" s="71"/>
      <c r="I1713" s="72"/>
      <c r="J1713" s="72"/>
      <c r="K1713" s="36"/>
      <c r="L1713" s="79">
        <v>1713</v>
      </c>
      <c r="M1713" s="79"/>
      <c r="N1713" s="74"/>
      <c r="O1713" s="81" t="s">
        <v>1235</v>
      </c>
    </row>
    <row r="1714" spans="1:15" ht="15">
      <c r="A1714" s="66" t="s">
        <v>218</v>
      </c>
      <c r="B1714" s="66" t="s">
        <v>219</v>
      </c>
      <c r="C1714" s="67"/>
      <c r="D1714" s="68"/>
      <c r="E1714" s="69"/>
      <c r="F1714" s="70"/>
      <c r="G1714" s="67"/>
      <c r="H1714" s="71"/>
      <c r="I1714" s="72"/>
      <c r="J1714" s="72"/>
      <c r="K1714" s="36"/>
      <c r="L1714" s="79">
        <v>1714</v>
      </c>
      <c r="M1714" s="79"/>
      <c r="N1714" s="74"/>
      <c r="O1714" s="81" t="s">
        <v>1235</v>
      </c>
    </row>
    <row r="1715" spans="1:15" ht="15">
      <c r="A1715" s="66" t="s">
        <v>219</v>
      </c>
      <c r="B1715" s="66" t="s">
        <v>223</v>
      </c>
      <c r="C1715" s="67"/>
      <c r="D1715" s="68"/>
      <c r="E1715" s="69"/>
      <c r="F1715" s="70"/>
      <c r="G1715" s="67"/>
      <c r="H1715" s="71"/>
      <c r="I1715" s="72"/>
      <c r="J1715" s="72"/>
      <c r="K1715" s="36"/>
      <c r="L1715" s="79">
        <v>1715</v>
      </c>
      <c r="M1715" s="79"/>
      <c r="N1715" s="74"/>
      <c r="O1715" s="81" t="s">
        <v>1235</v>
      </c>
    </row>
    <row r="1716" spans="1:15" ht="15">
      <c r="A1716" s="66" t="s">
        <v>219</v>
      </c>
      <c r="B1716" s="66" t="s">
        <v>221</v>
      </c>
      <c r="C1716" s="67"/>
      <c r="D1716" s="68"/>
      <c r="E1716" s="69"/>
      <c r="F1716" s="70"/>
      <c r="G1716" s="67"/>
      <c r="H1716" s="71"/>
      <c r="I1716" s="72"/>
      <c r="J1716" s="72"/>
      <c r="K1716" s="36"/>
      <c r="L1716" s="79">
        <v>1716</v>
      </c>
      <c r="M1716" s="79"/>
      <c r="N1716" s="74"/>
      <c r="O1716" s="81" t="s">
        <v>1235</v>
      </c>
    </row>
    <row r="1717" spans="1:15" ht="15">
      <c r="A1717" s="66" t="s">
        <v>219</v>
      </c>
      <c r="B1717" s="66" t="s">
        <v>218</v>
      </c>
      <c r="C1717" s="67"/>
      <c r="D1717" s="68"/>
      <c r="E1717" s="69"/>
      <c r="F1717" s="70"/>
      <c r="G1717" s="67"/>
      <c r="H1717" s="71"/>
      <c r="I1717" s="72"/>
      <c r="J1717" s="72"/>
      <c r="K1717" s="36"/>
      <c r="L1717" s="79">
        <v>1717</v>
      </c>
      <c r="M1717" s="79"/>
      <c r="N1717" s="74"/>
      <c r="O1717" s="81" t="s">
        <v>1235</v>
      </c>
    </row>
    <row r="1718" spans="1:15" ht="15">
      <c r="A1718" s="66" t="s">
        <v>219</v>
      </c>
      <c r="B1718" s="66" t="s">
        <v>224</v>
      </c>
      <c r="C1718" s="67"/>
      <c r="D1718" s="68"/>
      <c r="E1718" s="69"/>
      <c r="F1718" s="70"/>
      <c r="G1718" s="67"/>
      <c r="H1718" s="71"/>
      <c r="I1718" s="72"/>
      <c r="J1718" s="72"/>
      <c r="K1718" s="36"/>
      <c r="L1718" s="79">
        <v>1718</v>
      </c>
      <c r="M1718" s="79"/>
      <c r="N1718" s="74"/>
      <c r="O1718" s="81" t="s">
        <v>1235</v>
      </c>
    </row>
    <row r="1719" spans="1:15" ht="15">
      <c r="A1719" s="66" t="s">
        <v>220</v>
      </c>
      <c r="B1719" s="66" t="s">
        <v>219</v>
      </c>
      <c r="C1719" s="67"/>
      <c r="D1719" s="68"/>
      <c r="E1719" s="69"/>
      <c r="F1719" s="70"/>
      <c r="G1719" s="67"/>
      <c r="H1719" s="71"/>
      <c r="I1719" s="72"/>
      <c r="J1719" s="72"/>
      <c r="K1719" s="36"/>
      <c r="L1719" s="79">
        <v>1719</v>
      </c>
      <c r="M1719" s="79"/>
      <c r="N1719" s="74"/>
      <c r="O1719" s="81" t="s">
        <v>1235</v>
      </c>
    </row>
    <row r="1720" spans="1:15" ht="15">
      <c r="A1720" s="66" t="s">
        <v>223</v>
      </c>
      <c r="B1720" s="66" t="s">
        <v>219</v>
      </c>
      <c r="C1720" s="67"/>
      <c r="D1720" s="68"/>
      <c r="E1720" s="69"/>
      <c r="F1720" s="70"/>
      <c r="G1720" s="67"/>
      <c r="H1720" s="71"/>
      <c r="I1720" s="72"/>
      <c r="J1720" s="72"/>
      <c r="K1720" s="36"/>
      <c r="L1720" s="79">
        <v>1720</v>
      </c>
      <c r="M1720" s="79"/>
      <c r="N1720" s="74"/>
      <c r="O1720" s="81" t="s">
        <v>1235</v>
      </c>
    </row>
    <row r="1721" spans="1:15" ht="15">
      <c r="A1721" s="66" t="s">
        <v>224</v>
      </c>
      <c r="B1721" s="66" t="s">
        <v>219</v>
      </c>
      <c r="C1721" s="67"/>
      <c r="D1721" s="68"/>
      <c r="E1721" s="69"/>
      <c r="F1721" s="70"/>
      <c r="G1721" s="67"/>
      <c r="H1721" s="71"/>
      <c r="I1721" s="72"/>
      <c r="J1721" s="72"/>
      <c r="K1721" s="36"/>
      <c r="L1721" s="79">
        <v>1721</v>
      </c>
      <c r="M1721" s="79"/>
      <c r="N1721" s="74"/>
      <c r="O1721" s="81" t="s">
        <v>1235</v>
      </c>
    </row>
    <row r="1722" spans="1:15" ht="15">
      <c r="A1722" s="66" t="s">
        <v>227</v>
      </c>
      <c r="B1722" s="66" t="s">
        <v>219</v>
      </c>
      <c r="C1722" s="67"/>
      <c r="D1722" s="68"/>
      <c r="E1722" s="69"/>
      <c r="F1722" s="70"/>
      <c r="G1722" s="67"/>
      <c r="H1722" s="71"/>
      <c r="I1722" s="72"/>
      <c r="J1722" s="72"/>
      <c r="K1722" s="36"/>
      <c r="L1722" s="79">
        <v>1722</v>
      </c>
      <c r="M1722" s="79"/>
      <c r="N1722" s="74"/>
      <c r="O1722" s="81" t="s">
        <v>1235</v>
      </c>
    </row>
    <row r="1723" spans="1:15" ht="15">
      <c r="A1723" s="66" t="s">
        <v>227</v>
      </c>
      <c r="B1723" s="66" t="s">
        <v>391</v>
      </c>
      <c r="C1723" s="67"/>
      <c r="D1723" s="68"/>
      <c r="E1723" s="69"/>
      <c r="F1723" s="70"/>
      <c r="G1723" s="67"/>
      <c r="H1723" s="71"/>
      <c r="I1723" s="72"/>
      <c r="J1723" s="72"/>
      <c r="K1723" s="36"/>
      <c r="L1723" s="79">
        <v>1723</v>
      </c>
      <c r="M1723" s="79"/>
      <c r="N1723" s="74"/>
      <c r="O1723" s="81" t="s">
        <v>1235</v>
      </c>
    </row>
    <row r="1724" spans="1:15" ht="15">
      <c r="A1724" s="66" t="s">
        <v>220</v>
      </c>
      <c r="B1724" s="66" t="s">
        <v>226</v>
      </c>
      <c r="C1724" s="67"/>
      <c r="D1724" s="68"/>
      <c r="E1724" s="69"/>
      <c r="F1724" s="70"/>
      <c r="G1724" s="67"/>
      <c r="H1724" s="71"/>
      <c r="I1724" s="72"/>
      <c r="J1724" s="72"/>
      <c r="K1724" s="36"/>
      <c r="L1724" s="79">
        <v>1724</v>
      </c>
      <c r="M1724" s="79"/>
      <c r="N1724" s="74"/>
      <c r="O1724" s="81" t="s">
        <v>1235</v>
      </c>
    </row>
    <row r="1725" spans="1:15" ht="15">
      <c r="A1725" s="66" t="s">
        <v>221</v>
      </c>
      <c r="B1725" s="66" t="s">
        <v>226</v>
      </c>
      <c r="C1725" s="67"/>
      <c r="D1725" s="68"/>
      <c r="E1725" s="69"/>
      <c r="F1725" s="70"/>
      <c r="G1725" s="67"/>
      <c r="H1725" s="71"/>
      <c r="I1725" s="72"/>
      <c r="J1725" s="72"/>
      <c r="K1725" s="36"/>
      <c r="L1725" s="79">
        <v>1725</v>
      </c>
      <c r="M1725" s="79"/>
      <c r="N1725" s="74"/>
      <c r="O1725" s="81" t="s">
        <v>1235</v>
      </c>
    </row>
    <row r="1726" spans="1:15" ht="15">
      <c r="A1726" s="66" t="s">
        <v>223</v>
      </c>
      <c r="B1726" s="66" t="s">
        <v>226</v>
      </c>
      <c r="C1726" s="67"/>
      <c r="D1726" s="68"/>
      <c r="E1726" s="69"/>
      <c r="F1726" s="70"/>
      <c r="G1726" s="67"/>
      <c r="H1726" s="71"/>
      <c r="I1726" s="72"/>
      <c r="J1726" s="72"/>
      <c r="K1726" s="36"/>
      <c r="L1726" s="79">
        <v>1726</v>
      </c>
      <c r="M1726" s="79"/>
      <c r="N1726" s="74"/>
      <c r="O1726" s="81" t="s">
        <v>1235</v>
      </c>
    </row>
    <row r="1727" spans="1:15" ht="15">
      <c r="A1727" s="66" t="s">
        <v>227</v>
      </c>
      <c r="B1727" s="66" t="s">
        <v>226</v>
      </c>
      <c r="C1727" s="67"/>
      <c r="D1727" s="68"/>
      <c r="E1727" s="69"/>
      <c r="F1727" s="70"/>
      <c r="G1727" s="67"/>
      <c r="H1727" s="71"/>
      <c r="I1727" s="72"/>
      <c r="J1727" s="72"/>
      <c r="K1727" s="36"/>
      <c r="L1727" s="79">
        <v>1727</v>
      </c>
      <c r="M1727" s="79"/>
      <c r="N1727" s="74"/>
      <c r="O1727" s="81" t="s">
        <v>1235</v>
      </c>
    </row>
    <row r="1728" spans="1:15" ht="15">
      <c r="A1728" s="66" t="s">
        <v>218</v>
      </c>
      <c r="B1728" s="66" t="s">
        <v>1151</v>
      </c>
      <c r="C1728" s="67"/>
      <c r="D1728" s="68"/>
      <c r="E1728" s="69"/>
      <c r="F1728" s="70"/>
      <c r="G1728" s="67"/>
      <c r="H1728" s="71"/>
      <c r="I1728" s="72"/>
      <c r="J1728" s="72"/>
      <c r="K1728" s="36"/>
      <c r="L1728" s="79">
        <v>1728</v>
      </c>
      <c r="M1728" s="79"/>
      <c r="N1728" s="74"/>
      <c r="O1728" s="81" t="s">
        <v>1235</v>
      </c>
    </row>
    <row r="1729" spans="1:15" ht="15">
      <c r="A1729" s="66" t="s">
        <v>220</v>
      </c>
      <c r="B1729" s="66" t="s">
        <v>1151</v>
      </c>
      <c r="C1729" s="67"/>
      <c r="D1729" s="68"/>
      <c r="E1729" s="69"/>
      <c r="F1729" s="70"/>
      <c r="G1729" s="67"/>
      <c r="H1729" s="71"/>
      <c r="I1729" s="72"/>
      <c r="J1729" s="72"/>
      <c r="K1729" s="36"/>
      <c r="L1729" s="79">
        <v>1729</v>
      </c>
      <c r="M1729" s="79"/>
      <c r="N1729" s="74"/>
      <c r="O1729" s="81" t="s">
        <v>1235</v>
      </c>
    </row>
    <row r="1730" spans="1:15" ht="15">
      <c r="A1730" s="66" t="s">
        <v>223</v>
      </c>
      <c r="B1730" s="66" t="s">
        <v>1151</v>
      </c>
      <c r="C1730" s="67"/>
      <c r="D1730" s="68"/>
      <c r="E1730" s="69"/>
      <c r="F1730" s="70"/>
      <c r="G1730" s="67"/>
      <c r="H1730" s="71"/>
      <c r="I1730" s="72"/>
      <c r="J1730" s="72"/>
      <c r="K1730" s="36"/>
      <c r="L1730" s="79">
        <v>1730</v>
      </c>
      <c r="M1730" s="79"/>
      <c r="N1730" s="74"/>
      <c r="O1730" s="81" t="s">
        <v>1235</v>
      </c>
    </row>
    <row r="1731" spans="1:15" ht="15">
      <c r="A1731" s="66" t="s">
        <v>224</v>
      </c>
      <c r="B1731" s="66" t="s">
        <v>1151</v>
      </c>
      <c r="C1731" s="67"/>
      <c r="D1731" s="68"/>
      <c r="E1731" s="69"/>
      <c r="F1731" s="70"/>
      <c r="G1731" s="67"/>
      <c r="H1731" s="71"/>
      <c r="I1731" s="72"/>
      <c r="J1731" s="72"/>
      <c r="K1731" s="36"/>
      <c r="L1731" s="79">
        <v>1731</v>
      </c>
      <c r="M1731" s="79"/>
      <c r="N1731" s="74"/>
      <c r="O1731" s="81" t="s">
        <v>1235</v>
      </c>
    </row>
    <row r="1732" spans="1:15" ht="15">
      <c r="A1732" s="66" t="s">
        <v>227</v>
      </c>
      <c r="B1732" s="66" t="s">
        <v>1151</v>
      </c>
      <c r="C1732" s="67"/>
      <c r="D1732" s="68"/>
      <c r="E1732" s="69"/>
      <c r="F1732" s="70"/>
      <c r="G1732" s="67"/>
      <c r="H1732" s="71"/>
      <c r="I1732" s="72"/>
      <c r="J1732" s="72"/>
      <c r="K1732" s="36"/>
      <c r="L1732" s="79">
        <v>1732</v>
      </c>
      <c r="M1732" s="79"/>
      <c r="N1732" s="74"/>
      <c r="O1732" s="81" t="s">
        <v>1235</v>
      </c>
    </row>
    <row r="1733" spans="1:15" ht="15">
      <c r="A1733" s="66" t="s">
        <v>193</v>
      </c>
      <c r="B1733" s="66" t="s">
        <v>223</v>
      </c>
      <c r="C1733" s="67"/>
      <c r="D1733" s="68"/>
      <c r="E1733" s="69"/>
      <c r="F1733" s="70"/>
      <c r="G1733" s="67"/>
      <c r="H1733" s="71"/>
      <c r="I1733" s="72"/>
      <c r="J1733" s="72"/>
      <c r="K1733" s="36"/>
      <c r="L1733" s="79">
        <v>1733</v>
      </c>
      <c r="M1733" s="79"/>
      <c r="N1733" s="74"/>
      <c r="O1733" s="81" t="s">
        <v>1235</v>
      </c>
    </row>
    <row r="1734" spans="1:15" ht="15">
      <c r="A1734" s="66" t="s">
        <v>207</v>
      </c>
      <c r="B1734" s="66" t="s">
        <v>223</v>
      </c>
      <c r="C1734" s="67"/>
      <c r="D1734" s="68"/>
      <c r="E1734" s="69"/>
      <c r="F1734" s="70"/>
      <c r="G1734" s="67"/>
      <c r="H1734" s="71"/>
      <c r="I1734" s="72"/>
      <c r="J1734" s="72"/>
      <c r="K1734" s="36"/>
      <c r="L1734" s="79">
        <v>1734</v>
      </c>
      <c r="M1734" s="79"/>
      <c r="N1734" s="74"/>
      <c r="O1734" s="81" t="s">
        <v>1235</v>
      </c>
    </row>
    <row r="1735" spans="1:15" ht="15">
      <c r="A1735" s="66" t="s">
        <v>218</v>
      </c>
      <c r="B1735" s="66" t="s">
        <v>223</v>
      </c>
      <c r="C1735" s="67"/>
      <c r="D1735" s="68"/>
      <c r="E1735" s="69"/>
      <c r="F1735" s="70"/>
      <c r="G1735" s="67"/>
      <c r="H1735" s="71"/>
      <c r="I1735" s="72"/>
      <c r="J1735" s="72"/>
      <c r="K1735" s="36"/>
      <c r="L1735" s="79">
        <v>1735</v>
      </c>
      <c r="M1735" s="79"/>
      <c r="N1735" s="74"/>
      <c r="O1735" s="81" t="s">
        <v>1235</v>
      </c>
    </row>
    <row r="1736" spans="1:15" ht="15">
      <c r="A1736" s="66" t="s">
        <v>221</v>
      </c>
      <c r="B1736" s="66" t="s">
        <v>223</v>
      </c>
      <c r="C1736" s="67"/>
      <c r="D1736" s="68"/>
      <c r="E1736" s="69"/>
      <c r="F1736" s="70"/>
      <c r="G1736" s="67"/>
      <c r="H1736" s="71"/>
      <c r="I1736" s="72"/>
      <c r="J1736" s="72"/>
      <c r="K1736" s="36"/>
      <c r="L1736" s="79">
        <v>1736</v>
      </c>
      <c r="M1736" s="79"/>
      <c r="N1736" s="74"/>
      <c r="O1736" s="81" t="s">
        <v>1235</v>
      </c>
    </row>
    <row r="1737" spans="1:15" ht="15">
      <c r="A1737" s="66" t="s">
        <v>223</v>
      </c>
      <c r="B1737" s="66" t="s">
        <v>207</v>
      </c>
      <c r="C1737" s="67"/>
      <c r="D1737" s="68"/>
      <c r="E1737" s="69"/>
      <c r="F1737" s="70"/>
      <c r="G1737" s="67"/>
      <c r="H1737" s="71"/>
      <c r="I1737" s="72"/>
      <c r="J1737" s="72"/>
      <c r="K1737" s="36"/>
      <c r="L1737" s="79">
        <v>1737</v>
      </c>
      <c r="M1737" s="79"/>
      <c r="N1737" s="74"/>
      <c r="O1737" s="81" t="s">
        <v>1235</v>
      </c>
    </row>
    <row r="1738" spans="1:15" ht="15">
      <c r="A1738" s="66" t="s">
        <v>223</v>
      </c>
      <c r="B1738" s="66" t="s">
        <v>971</v>
      </c>
      <c r="C1738" s="67"/>
      <c r="D1738" s="68"/>
      <c r="E1738" s="69"/>
      <c r="F1738" s="70"/>
      <c r="G1738" s="67"/>
      <c r="H1738" s="71"/>
      <c r="I1738" s="72"/>
      <c r="J1738" s="72"/>
      <c r="K1738" s="36"/>
      <c r="L1738" s="79">
        <v>1738</v>
      </c>
      <c r="M1738" s="79"/>
      <c r="N1738" s="74"/>
      <c r="O1738" s="81" t="s">
        <v>1235</v>
      </c>
    </row>
    <row r="1739" spans="1:15" ht="15">
      <c r="A1739" s="66" t="s">
        <v>223</v>
      </c>
      <c r="B1739" s="66" t="s">
        <v>221</v>
      </c>
      <c r="C1739" s="67"/>
      <c r="D1739" s="68"/>
      <c r="E1739" s="69"/>
      <c r="F1739" s="70"/>
      <c r="G1739" s="67"/>
      <c r="H1739" s="71"/>
      <c r="I1739" s="72"/>
      <c r="J1739" s="72"/>
      <c r="K1739" s="36"/>
      <c r="L1739" s="79">
        <v>1739</v>
      </c>
      <c r="M1739" s="79"/>
      <c r="N1739" s="74"/>
      <c r="O1739" s="81" t="s">
        <v>1235</v>
      </c>
    </row>
    <row r="1740" spans="1:15" ht="15">
      <c r="A1740" s="66" t="s">
        <v>223</v>
      </c>
      <c r="B1740" s="66" t="s">
        <v>220</v>
      </c>
      <c r="C1740" s="67"/>
      <c r="D1740" s="68"/>
      <c r="E1740" s="69"/>
      <c r="F1740" s="70"/>
      <c r="G1740" s="67"/>
      <c r="H1740" s="71"/>
      <c r="I1740" s="72"/>
      <c r="J1740" s="72"/>
      <c r="K1740" s="36"/>
      <c r="L1740" s="79">
        <v>1740</v>
      </c>
      <c r="M1740" s="79"/>
      <c r="N1740" s="74"/>
      <c r="O1740" s="81" t="s">
        <v>1235</v>
      </c>
    </row>
    <row r="1741" spans="1:15" ht="15">
      <c r="A1741" s="66" t="s">
        <v>223</v>
      </c>
      <c r="B1741" s="66" t="s">
        <v>218</v>
      </c>
      <c r="C1741" s="67"/>
      <c r="D1741" s="68"/>
      <c r="E1741" s="69"/>
      <c r="F1741" s="70"/>
      <c r="G1741" s="67"/>
      <c r="H1741" s="71"/>
      <c r="I1741" s="72"/>
      <c r="J1741" s="72"/>
      <c r="K1741" s="36"/>
      <c r="L1741" s="79">
        <v>1741</v>
      </c>
      <c r="M1741" s="79"/>
      <c r="N1741" s="74"/>
      <c r="O1741" s="81" t="s">
        <v>1235</v>
      </c>
    </row>
    <row r="1742" spans="1:15" ht="15">
      <c r="A1742" s="66" t="s">
        <v>223</v>
      </c>
      <c r="B1742" s="66" t="s">
        <v>227</v>
      </c>
      <c r="C1742" s="67"/>
      <c r="D1742" s="68"/>
      <c r="E1742" s="69"/>
      <c r="F1742" s="70"/>
      <c r="G1742" s="67"/>
      <c r="H1742" s="71"/>
      <c r="I1742" s="72"/>
      <c r="J1742" s="72"/>
      <c r="K1742" s="36"/>
      <c r="L1742" s="79">
        <v>1742</v>
      </c>
      <c r="M1742" s="79"/>
      <c r="N1742" s="74"/>
      <c r="O1742" s="81" t="s">
        <v>1235</v>
      </c>
    </row>
    <row r="1743" spans="1:15" ht="15">
      <c r="A1743" s="66" t="s">
        <v>223</v>
      </c>
      <c r="B1743" s="66" t="s">
        <v>224</v>
      </c>
      <c r="C1743" s="67"/>
      <c r="D1743" s="68"/>
      <c r="E1743" s="69"/>
      <c r="F1743" s="70"/>
      <c r="G1743" s="67"/>
      <c r="H1743" s="71"/>
      <c r="I1743" s="72"/>
      <c r="J1743" s="72"/>
      <c r="K1743" s="36"/>
      <c r="L1743" s="79">
        <v>1743</v>
      </c>
      <c r="M1743" s="79"/>
      <c r="N1743" s="74"/>
      <c r="O1743" s="81" t="s">
        <v>1235</v>
      </c>
    </row>
    <row r="1744" spans="1:15" ht="15">
      <c r="A1744" s="66" t="s">
        <v>224</v>
      </c>
      <c r="B1744" s="66" t="s">
        <v>223</v>
      </c>
      <c r="C1744" s="67"/>
      <c r="D1744" s="68"/>
      <c r="E1744" s="69"/>
      <c r="F1744" s="70"/>
      <c r="G1744" s="67"/>
      <c r="H1744" s="71"/>
      <c r="I1744" s="72"/>
      <c r="J1744" s="72"/>
      <c r="K1744" s="36"/>
      <c r="L1744" s="79">
        <v>1744</v>
      </c>
      <c r="M1744" s="79"/>
      <c r="N1744" s="74"/>
      <c r="O1744" s="81" t="s">
        <v>1235</v>
      </c>
    </row>
    <row r="1745" spans="1:15" ht="15">
      <c r="A1745" s="66" t="s">
        <v>227</v>
      </c>
      <c r="B1745" s="66" t="s">
        <v>223</v>
      </c>
      <c r="C1745" s="67"/>
      <c r="D1745" s="68"/>
      <c r="E1745" s="69"/>
      <c r="F1745" s="70"/>
      <c r="G1745" s="67"/>
      <c r="H1745" s="71"/>
      <c r="I1745" s="72"/>
      <c r="J1745" s="72"/>
      <c r="K1745" s="36"/>
      <c r="L1745" s="79">
        <v>1745</v>
      </c>
      <c r="M1745" s="79"/>
      <c r="N1745" s="74"/>
      <c r="O1745" s="81" t="s">
        <v>1235</v>
      </c>
    </row>
    <row r="1746" spans="1:15" ht="15">
      <c r="A1746" s="66" t="s">
        <v>227</v>
      </c>
      <c r="B1746" s="66" t="s">
        <v>1233</v>
      </c>
      <c r="C1746" s="67"/>
      <c r="D1746" s="68"/>
      <c r="E1746" s="69"/>
      <c r="F1746" s="70"/>
      <c r="G1746" s="67"/>
      <c r="H1746" s="71"/>
      <c r="I1746" s="72"/>
      <c r="J1746" s="72"/>
      <c r="K1746" s="36"/>
      <c r="L1746" s="79">
        <v>1746</v>
      </c>
      <c r="M1746" s="79"/>
      <c r="N1746" s="74"/>
      <c r="O1746" s="81" t="s">
        <v>1235</v>
      </c>
    </row>
    <row r="1747" spans="1:15" ht="15">
      <c r="A1747" s="66" t="s">
        <v>193</v>
      </c>
      <c r="B1747" s="66" t="s">
        <v>221</v>
      </c>
      <c r="C1747" s="67"/>
      <c r="D1747" s="68"/>
      <c r="E1747" s="69"/>
      <c r="F1747" s="70"/>
      <c r="G1747" s="67"/>
      <c r="H1747" s="71"/>
      <c r="I1747" s="72"/>
      <c r="J1747" s="72"/>
      <c r="K1747" s="36"/>
      <c r="L1747" s="79">
        <v>1747</v>
      </c>
      <c r="M1747" s="79"/>
      <c r="N1747" s="74"/>
      <c r="O1747" s="81" t="s">
        <v>1235</v>
      </c>
    </row>
    <row r="1748" spans="1:15" ht="15">
      <c r="A1748" s="66" t="s">
        <v>218</v>
      </c>
      <c r="B1748" s="66" t="s">
        <v>221</v>
      </c>
      <c r="C1748" s="67"/>
      <c r="D1748" s="68"/>
      <c r="E1748" s="69"/>
      <c r="F1748" s="70"/>
      <c r="G1748" s="67"/>
      <c r="H1748" s="71"/>
      <c r="I1748" s="72"/>
      <c r="J1748" s="72"/>
      <c r="K1748" s="36"/>
      <c r="L1748" s="79">
        <v>1748</v>
      </c>
      <c r="M1748" s="79"/>
      <c r="N1748" s="74"/>
      <c r="O1748" s="81" t="s">
        <v>1235</v>
      </c>
    </row>
    <row r="1749" spans="1:15" ht="15">
      <c r="A1749" s="66" t="s">
        <v>220</v>
      </c>
      <c r="B1749" s="66" t="s">
        <v>221</v>
      </c>
      <c r="C1749" s="67"/>
      <c r="D1749" s="68"/>
      <c r="E1749" s="69"/>
      <c r="F1749" s="70"/>
      <c r="G1749" s="67"/>
      <c r="H1749" s="71"/>
      <c r="I1749" s="72"/>
      <c r="J1749" s="72"/>
      <c r="K1749" s="36"/>
      <c r="L1749" s="79">
        <v>1749</v>
      </c>
      <c r="M1749" s="79"/>
      <c r="N1749" s="74"/>
      <c r="O1749" s="81" t="s">
        <v>1235</v>
      </c>
    </row>
    <row r="1750" spans="1:15" ht="15">
      <c r="A1750" s="66" t="s">
        <v>221</v>
      </c>
      <c r="B1750" s="66" t="s">
        <v>193</v>
      </c>
      <c r="C1750" s="67"/>
      <c r="D1750" s="68"/>
      <c r="E1750" s="69"/>
      <c r="F1750" s="70"/>
      <c r="G1750" s="67"/>
      <c r="H1750" s="71"/>
      <c r="I1750" s="72"/>
      <c r="J1750" s="72"/>
      <c r="K1750" s="36"/>
      <c r="L1750" s="79">
        <v>1750</v>
      </c>
      <c r="M1750" s="79"/>
      <c r="N1750" s="74"/>
      <c r="O1750" s="81" t="s">
        <v>1235</v>
      </c>
    </row>
    <row r="1751" spans="1:15" ht="15">
      <c r="A1751" s="66" t="s">
        <v>221</v>
      </c>
      <c r="B1751" s="66" t="s">
        <v>971</v>
      </c>
      <c r="C1751" s="67"/>
      <c r="D1751" s="68"/>
      <c r="E1751" s="69"/>
      <c r="F1751" s="70"/>
      <c r="G1751" s="67"/>
      <c r="H1751" s="71"/>
      <c r="I1751" s="72"/>
      <c r="J1751" s="72"/>
      <c r="K1751" s="36"/>
      <c r="L1751" s="79">
        <v>1751</v>
      </c>
      <c r="M1751" s="79"/>
      <c r="N1751" s="74"/>
      <c r="O1751" s="81" t="s">
        <v>1235</v>
      </c>
    </row>
    <row r="1752" spans="1:15" ht="15">
      <c r="A1752" s="66" t="s">
        <v>221</v>
      </c>
      <c r="B1752" s="66" t="s">
        <v>227</v>
      </c>
      <c r="C1752" s="67"/>
      <c r="D1752" s="68"/>
      <c r="E1752" s="69"/>
      <c r="F1752" s="70"/>
      <c r="G1752" s="67"/>
      <c r="H1752" s="71"/>
      <c r="I1752" s="72"/>
      <c r="J1752" s="72"/>
      <c r="K1752" s="36"/>
      <c r="L1752" s="79">
        <v>1752</v>
      </c>
      <c r="M1752" s="79"/>
      <c r="N1752" s="74"/>
      <c r="O1752" s="81" t="s">
        <v>1235</v>
      </c>
    </row>
    <row r="1753" spans="1:15" ht="15">
      <c r="A1753" s="66" t="s">
        <v>221</v>
      </c>
      <c r="B1753" s="66" t="s">
        <v>484</v>
      </c>
      <c r="C1753" s="67"/>
      <c r="D1753" s="68"/>
      <c r="E1753" s="69"/>
      <c r="F1753" s="70"/>
      <c r="G1753" s="67"/>
      <c r="H1753" s="71"/>
      <c r="I1753" s="72"/>
      <c r="J1753" s="72"/>
      <c r="K1753" s="36"/>
      <c r="L1753" s="79">
        <v>1753</v>
      </c>
      <c r="M1753" s="79"/>
      <c r="N1753" s="74"/>
      <c r="O1753" s="81" t="s">
        <v>1235</v>
      </c>
    </row>
    <row r="1754" spans="1:15" ht="15">
      <c r="A1754" s="66" t="s">
        <v>221</v>
      </c>
      <c r="B1754" s="66" t="s">
        <v>295</v>
      </c>
      <c r="C1754" s="67"/>
      <c r="D1754" s="68"/>
      <c r="E1754" s="69"/>
      <c r="F1754" s="70"/>
      <c r="G1754" s="67"/>
      <c r="H1754" s="71"/>
      <c r="I1754" s="72"/>
      <c r="J1754" s="72"/>
      <c r="K1754" s="36"/>
      <c r="L1754" s="79">
        <v>1754</v>
      </c>
      <c r="M1754" s="79"/>
      <c r="N1754" s="74"/>
      <c r="O1754" s="81" t="s">
        <v>1235</v>
      </c>
    </row>
    <row r="1755" spans="1:15" ht="15">
      <c r="A1755" s="66" t="s">
        <v>221</v>
      </c>
      <c r="B1755" s="66" t="s">
        <v>224</v>
      </c>
      <c r="C1755" s="67"/>
      <c r="D1755" s="68"/>
      <c r="E1755" s="69"/>
      <c r="F1755" s="70"/>
      <c r="G1755" s="67"/>
      <c r="H1755" s="71"/>
      <c r="I1755" s="72"/>
      <c r="J1755" s="72"/>
      <c r="K1755" s="36"/>
      <c r="L1755" s="79">
        <v>1755</v>
      </c>
      <c r="M1755" s="79"/>
      <c r="N1755" s="74"/>
      <c r="O1755" s="81" t="s">
        <v>1235</v>
      </c>
    </row>
    <row r="1756" spans="1:15" ht="15">
      <c r="A1756" s="66" t="s">
        <v>221</v>
      </c>
      <c r="B1756" s="66" t="s">
        <v>220</v>
      </c>
      <c r="C1756" s="67"/>
      <c r="D1756" s="68"/>
      <c r="E1756" s="69"/>
      <c r="F1756" s="70"/>
      <c r="G1756" s="67"/>
      <c r="H1756" s="71"/>
      <c r="I1756" s="72"/>
      <c r="J1756" s="72"/>
      <c r="K1756" s="36"/>
      <c r="L1756" s="79">
        <v>1756</v>
      </c>
      <c r="M1756" s="79"/>
      <c r="N1756" s="74"/>
      <c r="O1756" s="81" t="s">
        <v>1235</v>
      </c>
    </row>
    <row r="1757" spans="1:15" ht="15">
      <c r="A1757" s="66" t="s">
        <v>221</v>
      </c>
      <c r="B1757" s="66" t="s">
        <v>218</v>
      </c>
      <c r="C1757" s="67"/>
      <c r="D1757" s="68"/>
      <c r="E1757" s="69"/>
      <c r="F1757" s="70"/>
      <c r="G1757" s="67"/>
      <c r="H1757" s="71"/>
      <c r="I1757" s="72"/>
      <c r="J1757" s="72"/>
      <c r="K1757" s="36"/>
      <c r="L1757" s="79">
        <v>1757</v>
      </c>
      <c r="M1757" s="79"/>
      <c r="N1757" s="74"/>
      <c r="O1757" s="81" t="s">
        <v>1235</v>
      </c>
    </row>
    <row r="1758" spans="1:15" ht="15">
      <c r="A1758" s="66" t="s">
        <v>224</v>
      </c>
      <c r="B1758" s="66" t="s">
        <v>221</v>
      </c>
      <c r="C1758" s="67"/>
      <c r="D1758" s="68"/>
      <c r="E1758" s="69"/>
      <c r="F1758" s="70"/>
      <c r="G1758" s="67"/>
      <c r="H1758" s="71"/>
      <c r="I1758" s="72"/>
      <c r="J1758" s="72"/>
      <c r="K1758" s="36"/>
      <c r="L1758" s="79">
        <v>1758</v>
      </c>
      <c r="M1758" s="79"/>
      <c r="N1758" s="74"/>
      <c r="O1758" s="81" t="s">
        <v>1235</v>
      </c>
    </row>
    <row r="1759" spans="1:15" ht="15">
      <c r="A1759" s="66" t="s">
        <v>227</v>
      </c>
      <c r="B1759" s="66" t="s">
        <v>221</v>
      </c>
      <c r="C1759" s="67"/>
      <c r="D1759" s="68"/>
      <c r="E1759" s="69"/>
      <c r="F1759" s="70"/>
      <c r="G1759" s="67"/>
      <c r="H1759" s="71"/>
      <c r="I1759" s="72"/>
      <c r="J1759" s="72"/>
      <c r="K1759" s="36"/>
      <c r="L1759" s="79">
        <v>1759</v>
      </c>
      <c r="M1759" s="79"/>
      <c r="N1759" s="74"/>
      <c r="O1759" s="81" t="s">
        <v>1235</v>
      </c>
    </row>
    <row r="1760" spans="1:15" ht="15">
      <c r="A1760" s="66" t="s">
        <v>207</v>
      </c>
      <c r="B1760" s="66" t="s">
        <v>220</v>
      </c>
      <c r="C1760" s="67"/>
      <c r="D1760" s="68"/>
      <c r="E1760" s="69"/>
      <c r="F1760" s="70"/>
      <c r="G1760" s="67"/>
      <c r="H1760" s="71"/>
      <c r="I1760" s="72"/>
      <c r="J1760" s="72"/>
      <c r="K1760" s="36"/>
      <c r="L1760" s="79">
        <v>1760</v>
      </c>
      <c r="M1760" s="79"/>
      <c r="N1760" s="74"/>
      <c r="O1760" s="81" t="s">
        <v>1235</v>
      </c>
    </row>
    <row r="1761" spans="1:15" ht="15">
      <c r="A1761" s="66" t="s">
        <v>218</v>
      </c>
      <c r="B1761" s="66" t="s">
        <v>220</v>
      </c>
      <c r="C1761" s="67"/>
      <c r="D1761" s="68"/>
      <c r="E1761" s="69"/>
      <c r="F1761" s="70"/>
      <c r="G1761" s="67"/>
      <c r="H1761" s="71"/>
      <c r="I1761" s="72"/>
      <c r="J1761" s="72"/>
      <c r="K1761" s="36"/>
      <c r="L1761" s="79">
        <v>1761</v>
      </c>
      <c r="M1761" s="79"/>
      <c r="N1761" s="74"/>
      <c r="O1761" s="81" t="s">
        <v>1235</v>
      </c>
    </row>
    <row r="1762" spans="1:15" ht="15">
      <c r="A1762" s="66" t="s">
        <v>220</v>
      </c>
      <c r="B1762" s="66" t="s">
        <v>971</v>
      </c>
      <c r="C1762" s="67"/>
      <c r="D1762" s="68"/>
      <c r="E1762" s="69"/>
      <c r="F1762" s="70"/>
      <c r="G1762" s="67"/>
      <c r="H1762" s="71"/>
      <c r="I1762" s="72"/>
      <c r="J1762" s="72"/>
      <c r="K1762" s="36"/>
      <c r="L1762" s="79">
        <v>1762</v>
      </c>
      <c r="M1762" s="79"/>
      <c r="N1762" s="74"/>
      <c r="O1762" s="81" t="s">
        <v>1235</v>
      </c>
    </row>
    <row r="1763" spans="1:15" ht="15">
      <c r="A1763" s="66" t="s">
        <v>220</v>
      </c>
      <c r="B1763" s="66" t="s">
        <v>227</v>
      </c>
      <c r="C1763" s="67"/>
      <c r="D1763" s="68"/>
      <c r="E1763" s="69"/>
      <c r="F1763" s="70"/>
      <c r="G1763" s="67"/>
      <c r="H1763" s="71"/>
      <c r="I1763" s="72"/>
      <c r="J1763" s="72"/>
      <c r="K1763" s="36"/>
      <c r="L1763" s="79">
        <v>1763</v>
      </c>
      <c r="M1763" s="79"/>
      <c r="N1763" s="74"/>
      <c r="O1763" s="81" t="s">
        <v>1235</v>
      </c>
    </row>
    <row r="1764" spans="1:15" ht="15">
      <c r="A1764" s="66" t="s">
        <v>220</v>
      </c>
      <c r="B1764" s="66" t="s">
        <v>484</v>
      </c>
      <c r="C1764" s="67"/>
      <c r="D1764" s="68"/>
      <c r="E1764" s="69"/>
      <c r="F1764" s="70"/>
      <c r="G1764" s="67"/>
      <c r="H1764" s="71"/>
      <c r="I1764" s="72"/>
      <c r="J1764" s="72"/>
      <c r="K1764" s="36"/>
      <c r="L1764" s="79">
        <v>1764</v>
      </c>
      <c r="M1764" s="79"/>
      <c r="N1764" s="74"/>
      <c r="O1764" s="81" t="s">
        <v>1235</v>
      </c>
    </row>
    <row r="1765" spans="1:15" ht="15">
      <c r="A1765" s="66" t="s">
        <v>220</v>
      </c>
      <c r="B1765" s="66" t="s">
        <v>218</v>
      </c>
      <c r="C1765" s="67"/>
      <c r="D1765" s="68"/>
      <c r="E1765" s="69"/>
      <c r="F1765" s="70"/>
      <c r="G1765" s="67"/>
      <c r="H1765" s="71"/>
      <c r="I1765" s="72"/>
      <c r="J1765" s="72"/>
      <c r="K1765" s="36"/>
      <c r="L1765" s="79">
        <v>1765</v>
      </c>
      <c r="M1765" s="79"/>
      <c r="N1765" s="74"/>
      <c r="O1765" s="81" t="s">
        <v>1235</v>
      </c>
    </row>
    <row r="1766" spans="1:15" ht="15">
      <c r="A1766" s="66" t="s">
        <v>224</v>
      </c>
      <c r="B1766" s="66" t="s">
        <v>220</v>
      </c>
      <c r="C1766" s="67"/>
      <c r="D1766" s="68"/>
      <c r="E1766" s="69"/>
      <c r="F1766" s="70"/>
      <c r="G1766" s="67"/>
      <c r="H1766" s="71"/>
      <c r="I1766" s="72"/>
      <c r="J1766" s="72"/>
      <c r="K1766" s="36"/>
      <c r="L1766" s="79">
        <v>1766</v>
      </c>
      <c r="M1766" s="79"/>
      <c r="N1766" s="74"/>
      <c r="O1766" s="81" t="s">
        <v>1235</v>
      </c>
    </row>
    <row r="1767" spans="1:15" ht="15">
      <c r="A1767" s="66" t="s">
        <v>227</v>
      </c>
      <c r="B1767" s="66" t="s">
        <v>220</v>
      </c>
      <c r="C1767" s="67"/>
      <c r="D1767" s="68"/>
      <c r="E1767" s="69"/>
      <c r="F1767" s="70"/>
      <c r="G1767" s="67"/>
      <c r="H1767" s="71"/>
      <c r="I1767" s="72"/>
      <c r="J1767" s="72"/>
      <c r="K1767" s="36"/>
      <c r="L1767" s="79">
        <v>1767</v>
      </c>
      <c r="M1767" s="79"/>
      <c r="N1767" s="74"/>
      <c r="O1767" s="81" t="s">
        <v>1235</v>
      </c>
    </row>
    <row r="1768" spans="1:15" ht="15">
      <c r="A1768" s="66" t="s">
        <v>218</v>
      </c>
      <c r="B1768" s="66" t="s">
        <v>295</v>
      </c>
      <c r="C1768" s="67"/>
      <c r="D1768" s="68"/>
      <c r="E1768" s="69"/>
      <c r="F1768" s="70"/>
      <c r="G1768" s="67"/>
      <c r="H1768" s="71"/>
      <c r="I1768" s="72"/>
      <c r="J1768" s="72"/>
      <c r="K1768" s="36"/>
      <c r="L1768" s="79">
        <v>1768</v>
      </c>
      <c r="M1768" s="79"/>
      <c r="N1768" s="74"/>
      <c r="O1768" s="81" t="s">
        <v>1235</v>
      </c>
    </row>
    <row r="1769" spans="1:15" ht="15">
      <c r="A1769" s="66" t="s">
        <v>227</v>
      </c>
      <c r="B1769" s="66" t="s">
        <v>295</v>
      </c>
      <c r="C1769" s="67"/>
      <c r="D1769" s="68"/>
      <c r="E1769" s="69"/>
      <c r="F1769" s="70"/>
      <c r="G1769" s="67"/>
      <c r="H1769" s="71"/>
      <c r="I1769" s="72"/>
      <c r="J1769" s="72"/>
      <c r="K1769" s="36"/>
      <c r="L1769" s="79">
        <v>1769</v>
      </c>
      <c r="M1769" s="79"/>
      <c r="N1769" s="74"/>
      <c r="O1769" s="81" t="s">
        <v>1235</v>
      </c>
    </row>
    <row r="1770" spans="1:15" ht="15">
      <c r="A1770" s="66" t="s">
        <v>193</v>
      </c>
      <c r="B1770" s="66" t="s">
        <v>218</v>
      </c>
      <c r="C1770" s="67"/>
      <c r="D1770" s="68"/>
      <c r="E1770" s="69"/>
      <c r="F1770" s="70"/>
      <c r="G1770" s="67"/>
      <c r="H1770" s="71"/>
      <c r="I1770" s="72"/>
      <c r="J1770" s="72"/>
      <c r="K1770" s="36"/>
      <c r="L1770" s="79">
        <v>1770</v>
      </c>
      <c r="M1770" s="79"/>
      <c r="N1770" s="74"/>
      <c r="O1770" s="81" t="s">
        <v>1235</v>
      </c>
    </row>
    <row r="1771" spans="1:15" ht="15">
      <c r="A1771" s="66" t="s">
        <v>193</v>
      </c>
      <c r="B1771" s="66" t="s">
        <v>227</v>
      </c>
      <c r="C1771" s="67"/>
      <c r="D1771" s="68"/>
      <c r="E1771" s="69"/>
      <c r="F1771" s="70"/>
      <c r="G1771" s="67"/>
      <c r="H1771" s="71"/>
      <c r="I1771" s="72"/>
      <c r="J1771" s="72"/>
      <c r="K1771" s="36"/>
      <c r="L1771" s="79">
        <v>1771</v>
      </c>
      <c r="M1771" s="79"/>
      <c r="N1771" s="74"/>
      <c r="O1771" s="81" t="s">
        <v>1235</v>
      </c>
    </row>
    <row r="1772" spans="1:15" ht="15">
      <c r="A1772" s="66" t="s">
        <v>193</v>
      </c>
      <c r="B1772" s="66" t="s">
        <v>224</v>
      </c>
      <c r="C1772" s="67"/>
      <c r="D1772" s="68"/>
      <c r="E1772" s="69"/>
      <c r="F1772" s="70"/>
      <c r="G1772" s="67"/>
      <c r="H1772" s="71"/>
      <c r="I1772" s="72"/>
      <c r="J1772" s="72"/>
      <c r="K1772" s="36"/>
      <c r="L1772" s="79">
        <v>1772</v>
      </c>
      <c r="M1772" s="79"/>
      <c r="N1772" s="74"/>
      <c r="O1772" s="81" t="s">
        <v>1235</v>
      </c>
    </row>
    <row r="1773" spans="1:15" ht="15">
      <c r="A1773" s="66" t="s">
        <v>193</v>
      </c>
      <c r="B1773" s="66" t="s">
        <v>484</v>
      </c>
      <c r="C1773" s="67"/>
      <c r="D1773" s="68"/>
      <c r="E1773" s="69"/>
      <c r="F1773" s="70"/>
      <c r="G1773" s="67"/>
      <c r="H1773" s="71"/>
      <c r="I1773" s="72"/>
      <c r="J1773" s="72"/>
      <c r="K1773" s="36"/>
      <c r="L1773" s="79">
        <v>1773</v>
      </c>
      <c r="M1773" s="79"/>
      <c r="N1773" s="74"/>
      <c r="O1773" s="81" t="s">
        <v>1235</v>
      </c>
    </row>
    <row r="1774" spans="1:15" ht="15">
      <c r="A1774" s="66" t="s">
        <v>227</v>
      </c>
      <c r="B1774" s="66" t="s">
        <v>193</v>
      </c>
      <c r="C1774" s="67"/>
      <c r="D1774" s="68"/>
      <c r="E1774" s="69"/>
      <c r="F1774" s="70"/>
      <c r="G1774" s="67"/>
      <c r="H1774" s="71"/>
      <c r="I1774" s="72"/>
      <c r="J1774" s="72"/>
      <c r="K1774" s="36"/>
      <c r="L1774" s="79">
        <v>1774</v>
      </c>
      <c r="M1774" s="79"/>
      <c r="N1774" s="74"/>
      <c r="O1774" s="81" t="s">
        <v>1235</v>
      </c>
    </row>
    <row r="1775" spans="1:15" ht="15">
      <c r="A1775" s="66" t="s">
        <v>207</v>
      </c>
      <c r="B1775" s="66" t="s">
        <v>218</v>
      </c>
      <c r="C1775" s="67"/>
      <c r="D1775" s="68"/>
      <c r="E1775" s="69"/>
      <c r="F1775" s="70"/>
      <c r="G1775" s="67"/>
      <c r="H1775" s="71"/>
      <c r="I1775" s="72"/>
      <c r="J1775" s="72"/>
      <c r="K1775" s="36"/>
      <c r="L1775" s="79">
        <v>1775</v>
      </c>
      <c r="M1775" s="79"/>
      <c r="N1775" s="74"/>
      <c r="O1775" s="81" t="s">
        <v>1235</v>
      </c>
    </row>
    <row r="1776" spans="1:15" ht="15">
      <c r="A1776" s="66" t="s">
        <v>207</v>
      </c>
      <c r="B1776" s="66" t="s">
        <v>227</v>
      </c>
      <c r="C1776" s="67"/>
      <c r="D1776" s="68"/>
      <c r="E1776" s="69"/>
      <c r="F1776" s="70"/>
      <c r="G1776" s="67"/>
      <c r="H1776" s="71"/>
      <c r="I1776" s="72"/>
      <c r="J1776" s="72"/>
      <c r="K1776" s="36"/>
      <c r="L1776" s="79">
        <v>1776</v>
      </c>
      <c r="M1776" s="79"/>
      <c r="N1776" s="74"/>
      <c r="O1776" s="81" t="s">
        <v>1235</v>
      </c>
    </row>
    <row r="1777" spans="1:15" ht="15">
      <c r="A1777" s="66" t="s">
        <v>207</v>
      </c>
      <c r="B1777" s="66" t="s">
        <v>224</v>
      </c>
      <c r="C1777" s="67"/>
      <c r="D1777" s="68"/>
      <c r="E1777" s="69"/>
      <c r="F1777" s="70"/>
      <c r="G1777" s="67"/>
      <c r="H1777" s="71"/>
      <c r="I1777" s="72"/>
      <c r="J1777" s="72"/>
      <c r="K1777" s="36"/>
      <c r="L1777" s="79">
        <v>1777</v>
      </c>
      <c r="M1777" s="79"/>
      <c r="N1777" s="74"/>
      <c r="O1777" s="81" t="s">
        <v>1235</v>
      </c>
    </row>
    <row r="1778" spans="1:15" ht="15">
      <c r="A1778" s="66" t="s">
        <v>218</v>
      </c>
      <c r="B1778" s="66" t="s">
        <v>207</v>
      </c>
      <c r="C1778" s="67"/>
      <c r="D1778" s="68"/>
      <c r="E1778" s="69"/>
      <c r="F1778" s="70"/>
      <c r="G1778" s="67"/>
      <c r="H1778" s="71"/>
      <c r="I1778" s="72"/>
      <c r="J1778" s="72"/>
      <c r="K1778" s="36"/>
      <c r="L1778" s="79">
        <v>1778</v>
      </c>
      <c r="M1778" s="79"/>
      <c r="N1778" s="74"/>
      <c r="O1778" s="81" t="s">
        <v>1235</v>
      </c>
    </row>
    <row r="1779" spans="1:15" ht="15">
      <c r="A1779" s="66" t="s">
        <v>224</v>
      </c>
      <c r="B1779" s="66" t="s">
        <v>207</v>
      </c>
      <c r="C1779" s="67"/>
      <c r="D1779" s="68"/>
      <c r="E1779" s="69"/>
      <c r="F1779" s="70"/>
      <c r="G1779" s="67"/>
      <c r="H1779" s="71"/>
      <c r="I1779" s="72"/>
      <c r="J1779" s="72"/>
      <c r="K1779" s="36"/>
      <c r="L1779" s="79">
        <v>1779</v>
      </c>
      <c r="M1779" s="79"/>
      <c r="N1779" s="74"/>
      <c r="O1779" s="81" t="s">
        <v>1235</v>
      </c>
    </row>
    <row r="1780" spans="1:15" ht="15">
      <c r="A1780" s="66" t="s">
        <v>227</v>
      </c>
      <c r="B1780" s="66" t="s">
        <v>207</v>
      </c>
      <c r="C1780" s="67"/>
      <c r="D1780" s="68"/>
      <c r="E1780" s="69"/>
      <c r="F1780" s="70"/>
      <c r="G1780" s="67"/>
      <c r="H1780" s="71"/>
      <c r="I1780" s="72"/>
      <c r="J1780" s="72"/>
      <c r="K1780" s="36"/>
      <c r="L1780" s="79">
        <v>1780</v>
      </c>
      <c r="M1780" s="79"/>
      <c r="N1780" s="74"/>
      <c r="O1780" s="81" t="s">
        <v>1235</v>
      </c>
    </row>
    <row r="1781" spans="1:15" ht="15">
      <c r="A1781" s="66" t="s">
        <v>227</v>
      </c>
      <c r="B1781" s="66" t="s">
        <v>1234</v>
      </c>
      <c r="C1781" s="67"/>
      <c r="D1781" s="68"/>
      <c r="E1781" s="69"/>
      <c r="F1781" s="70"/>
      <c r="G1781" s="67"/>
      <c r="H1781" s="71"/>
      <c r="I1781" s="72"/>
      <c r="J1781" s="72"/>
      <c r="K1781" s="36"/>
      <c r="L1781" s="79">
        <v>1781</v>
      </c>
      <c r="M1781" s="79"/>
      <c r="N1781" s="74"/>
      <c r="O1781" s="81" t="s">
        <v>1235</v>
      </c>
    </row>
    <row r="1782" spans="1:15" ht="15">
      <c r="A1782" s="66" t="s">
        <v>218</v>
      </c>
      <c r="B1782" s="66" t="s">
        <v>224</v>
      </c>
      <c r="C1782" s="67"/>
      <c r="D1782" s="68"/>
      <c r="E1782" s="69"/>
      <c r="F1782" s="70"/>
      <c r="G1782" s="67"/>
      <c r="H1782" s="71"/>
      <c r="I1782" s="72"/>
      <c r="J1782" s="72"/>
      <c r="K1782" s="36"/>
      <c r="L1782" s="79">
        <v>1782</v>
      </c>
      <c r="M1782" s="79"/>
      <c r="N1782" s="74"/>
      <c r="O1782" s="81" t="s">
        <v>1235</v>
      </c>
    </row>
    <row r="1783" spans="1:15" ht="15">
      <c r="A1783" s="66" t="s">
        <v>224</v>
      </c>
      <c r="B1783" s="66" t="s">
        <v>971</v>
      </c>
      <c r="C1783" s="67"/>
      <c r="D1783" s="68"/>
      <c r="E1783" s="69"/>
      <c r="F1783" s="70"/>
      <c r="G1783" s="67"/>
      <c r="H1783" s="71"/>
      <c r="I1783" s="72"/>
      <c r="J1783" s="72"/>
      <c r="K1783" s="36"/>
      <c r="L1783" s="79">
        <v>1783</v>
      </c>
      <c r="M1783" s="79"/>
      <c r="N1783" s="74"/>
      <c r="O1783" s="81" t="s">
        <v>1235</v>
      </c>
    </row>
    <row r="1784" spans="1:15" ht="15">
      <c r="A1784" s="66" t="s">
        <v>224</v>
      </c>
      <c r="B1784" s="66" t="s">
        <v>484</v>
      </c>
      <c r="C1784" s="67"/>
      <c r="D1784" s="68"/>
      <c r="E1784" s="69"/>
      <c r="F1784" s="70"/>
      <c r="G1784" s="67"/>
      <c r="H1784" s="71"/>
      <c r="I1784" s="72"/>
      <c r="J1784" s="72"/>
      <c r="K1784" s="36"/>
      <c r="L1784" s="79">
        <v>1784</v>
      </c>
      <c r="M1784" s="79"/>
      <c r="N1784" s="74"/>
      <c r="O1784" s="81" t="s">
        <v>1235</v>
      </c>
    </row>
    <row r="1785" spans="1:15" ht="15">
      <c r="A1785" s="66" t="s">
        <v>224</v>
      </c>
      <c r="B1785" s="66" t="s">
        <v>227</v>
      </c>
      <c r="C1785" s="67"/>
      <c r="D1785" s="68"/>
      <c r="E1785" s="69"/>
      <c r="F1785" s="70"/>
      <c r="G1785" s="67"/>
      <c r="H1785" s="71"/>
      <c r="I1785" s="72"/>
      <c r="J1785" s="72"/>
      <c r="K1785" s="36"/>
      <c r="L1785" s="79">
        <v>1785</v>
      </c>
      <c r="M1785" s="79"/>
      <c r="N1785" s="74"/>
      <c r="O1785" s="81" t="s">
        <v>1235</v>
      </c>
    </row>
    <row r="1786" spans="1:15" ht="15">
      <c r="A1786" s="66" t="s">
        <v>224</v>
      </c>
      <c r="B1786" s="66" t="s">
        <v>218</v>
      </c>
      <c r="C1786" s="67"/>
      <c r="D1786" s="68"/>
      <c r="E1786" s="69"/>
      <c r="F1786" s="70"/>
      <c r="G1786" s="67"/>
      <c r="H1786" s="71"/>
      <c r="I1786" s="72"/>
      <c r="J1786" s="72"/>
      <c r="K1786" s="36"/>
      <c r="L1786" s="79">
        <v>1786</v>
      </c>
      <c r="M1786" s="79"/>
      <c r="N1786" s="74"/>
      <c r="O1786" s="81" t="s">
        <v>1235</v>
      </c>
    </row>
    <row r="1787" spans="1:15" ht="15">
      <c r="A1787" s="66" t="s">
        <v>227</v>
      </c>
      <c r="B1787" s="66" t="s">
        <v>224</v>
      </c>
      <c r="C1787" s="67"/>
      <c r="D1787" s="68"/>
      <c r="E1787" s="69"/>
      <c r="F1787" s="70"/>
      <c r="G1787" s="67"/>
      <c r="H1787" s="71"/>
      <c r="I1787" s="72"/>
      <c r="J1787" s="72"/>
      <c r="K1787" s="36"/>
      <c r="L1787" s="79">
        <v>1787</v>
      </c>
      <c r="M1787" s="79"/>
      <c r="N1787" s="74"/>
      <c r="O1787" s="81" t="s">
        <v>1235</v>
      </c>
    </row>
    <row r="1788" spans="1:15" ht="15">
      <c r="A1788" s="66" t="s">
        <v>227</v>
      </c>
      <c r="B1788" s="66" t="s">
        <v>971</v>
      </c>
      <c r="C1788" s="67"/>
      <c r="D1788" s="68"/>
      <c r="E1788" s="69"/>
      <c r="F1788" s="70"/>
      <c r="G1788" s="67"/>
      <c r="H1788" s="71"/>
      <c r="I1788" s="72"/>
      <c r="J1788" s="72"/>
      <c r="K1788" s="36"/>
      <c r="L1788" s="79">
        <v>1788</v>
      </c>
      <c r="M1788" s="79"/>
      <c r="N1788" s="74"/>
      <c r="O1788" s="81" t="s">
        <v>1235</v>
      </c>
    </row>
    <row r="1789" spans="1:15" ht="15">
      <c r="A1789" s="66" t="s">
        <v>218</v>
      </c>
      <c r="B1789" s="66" t="s">
        <v>484</v>
      </c>
      <c r="C1789" s="67"/>
      <c r="D1789" s="68"/>
      <c r="E1789" s="69"/>
      <c r="F1789" s="70"/>
      <c r="G1789" s="67"/>
      <c r="H1789" s="71"/>
      <c r="I1789" s="72"/>
      <c r="J1789" s="72"/>
      <c r="K1789" s="36"/>
      <c r="L1789" s="79">
        <v>1789</v>
      </c>
      <c r="M1789" s="79"/>
      <c r="N1789" s="74"/>
      <c r="O1789" s="81" t="s">
        <v>1235</v>
      </c>
    </row>
    <row r="1790" spans="1:15" ht="15">
      <c r="A1790" s="66" t="s">
        <v>227</v>
      </c>
      <c r="B1790" s="66" t="s">
        <v>484</v>
      </c>
      <c r="C1790" s="67"/>
      <c r="D1790" s="68"/>
      <c r="E1790" s="69"/>
      <c r="F1790" s="70"/>
      <c r="G1790" s="67"/>
      <c r="H1790" s="71"/>
      <c r="I1790" s="72"/>
      <c r="J1790" s="72"/>
      <c r="K1790" s="36"/>
      <c r="L1790" s="79">
        <v>1790</v>
      </c>
      <c r="M1790" s="79"/>
      <c r="N1790" s="74"/>
      <c r="O1790" s="81" t="s">
        <v>1235</v>
      </c>
    </row>
    <row r="1791" spans="1:15" ht="15">
      <c r="A1791" s="66" t="s">
        <v>218</v>
      </c>
      <c r="B1791" s="66" t="s">
        <v>227</v>
      </c>
      <c r="C1791" s="67"/>
      <c r="D1791" s="68"/>
      <c r="E1791" s="69"/>
      <c r="F1791" s="70"/>
      <c r="G1791" s="67"/>
      <c r="H1791" s="71"/>
      <c r="I1791" s="72"/>
      <c r="J1791" s="72"/>
      <c r="K1791" s="36"/>
      <c r="L1791" s="79">
        <v>1791</v>
      </c>
      <c r="M1791" s="79"/>
      <c r="N1791" s="74"/>
      <c r="O1791" s="81" t="s">
        <v>1235</v>
      </c>
    </row>
    <row r="1792" spans="1:15" ht="15">
      <c r="A1792" s="66" t="s">
        <v>227</v>
      </c>
      <c r="B1792" s="66" t="s">
        <v>218</v>
      </c>
      <c r="C1792" s="67"/>
      <c r="D1792" s="68"/>
      <c r="E1792" s="69"/>
      <c r="F1792" s="70"/>
      <c r="G1792" s="67"/>
      <c r="H1792" s="71"/>
      <c r="I1792" s="72"/>
      <c r="J1792" s="72"/>
      <c r="K1792" s="36"/>
      <c r="L1792" s="79">
        <v>1792</v>
      </c>
      <c r="M1792" s="79"/>
      <c r="N1792" s="74"/>
      <c r="O1792" s="81" t="s">
        <v>1235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2"/>
    <dataValidation allowBlank="1" showErrorMessage="1" sqref="N2:N17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2"/>
    <dataValidation allowBlank="1" showInputMessage="1" promptTitle="Edge Color" prompt="To select an optional edge color, right-click and select Select Color on the right-click menu." sqref="C3:C1792"/>
    <dataValidation allowBlank="1" showInputMessage="1" promptTitle="Edge Width" prompt="Enter an optional edge width between 1 and 10." errorTitle="Invalid Edge Width" error="The optional edge width must be a whole number between 1 and 10." sqref="D3:D1792"/>
    <dataValidation allowBlank="1" showInputMessage="1" promptTitle="Edge Opacity" prompt="Enter an optional edge opacity between 0 (transparent) and 100 (opaque)." errorTitle="Invalid Edge Opacity" error="The optional edge opacity must be a whole number between 0 and 10." sqref="F3:F17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2">
      <formula1>ValidEdgeVisibilities</formula1>
    </dataValidation>
    <dataValidation allowBlank="1" showInputMessage="1" showErrorMessage="1" promptTitle="Vertex 1 Name" prompt="Enter the name of the edge's first vertex." sqref="A3:A1792"/>
    <dataValidation allowBlank="1" showInputMessage="1" showErrorMessage="1" promptTitle="Vertex 2 Name" prompt="Enter the name of the edge's second vertex." sqref="B3:B1792"/>
    <dataValidation allowBlank="1" showInputMessage="1" showErrorMessage="1" promptTitle="Edge Label" prompt="Enter an optional edge label." errorTitle="Invalid Edge Visibility" error="You have entered an unrecognized edge visibility.  Try selecting from the drop-down list instead." sqref="H3:H17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1236</v>
      </c>
      <c r="AE2" s="13" t="s">
        <v>1237</v>
      </c>
      <c r="AF2" s="13" t="s">
        <v>1238</v>
      </c>
      <c r="AG2" s="13" t="s">
        <v>1239</v>
      </c>
      <c r="AH2" s="13" t="s">
        <v>1240</v>
      </c>
      <c r="AI2" s="13" t="s">
        <v>1241</v>
      </c>
      <c r="AJ2" s="13" t="s">
        <v>1242</v>
      </c>
      <c r="AK2" s="13" t="s">
        <v>1243</v>
      </c>
      <c r="AL2" s="13" t="s">
        <v>1244</v>
      </c>
      <c r="AM2" s="13" t="s">
        <v>1245</v>
      </c>
      <c r="AN2" s="13" t="s">
        <v>1246</v>
      </c>
      <c r="AO2" s="3"/>
      <c r="AP2" s="3"/>
    </row>
    <row r="3" spans="1:42" ht="15" customHeight="1">
      <c r="A3" s="66" t="s">
        <v>178</v>
      </c>
      <c r="B3" s="67"/>
      <c r="C3" s="67"/>
      <c r="D3" s="68"/>
      <c r="E3" s="70"/>
      <c r="F3" s="100" t="str">
        <f>HYPERLINK("https://i.ytimg.com/vi/moFVMo6_xi0/default.jpg")</f>
        <v>https://i.ytimg.com/vi/moFVMo6_xi0/default.jpg</v>
      </c>
      <c r="G3" s="67"/>
      <c r="H3" s="71"/>
      <c r="I3" s="72"/>
      <c r="J3" s="72"/>
      <c r="K3" s="71" t="s">
        <v>2288</v>
      </c>
      <c r="L3" s="75"/>
      <c r="M3" s="76">
        <v>5809.88427734375</v>
      </c>
      <c r="N3" s="76">
        <v>5103.41748046875</v>
      </c>
      <c r="O3" s="77"/>
      <c r="P3" s="78"/>
      <c r="Q3" s="78"/>
      <c r="R3" s="50"/>
      <c r="S3" s="50"/>
      <c r="T3" s="50"/>
      <c r="U3" s="50"/>
      <c r="V3" s="51"/>
      <c r="W3" s="51"/>
      <c r="X3" s="52"/>
      <c r="Y3" s="51"/>
      <c r="Z3" s="51"/>
      <c r="AA3" s="73">
        <v>3</v>
      </c>
      <c r="AB3" s="73"/>
      <c r="AC3" s="74"/>
      <c r="AD3" s="80" t="s">
        <v>2288</v>
      </c>
      <c r="AE3" s="80"/>
      <c r="AF3" s="80"/>
      <c r="AG3" s="80" t="s">
        <v>4556</v>
      </c>
      <c r="AH3" s="80" t="s">
        <v>5613</v>
      </c>
      <c r="AI3" s="80">
        <v>20</v>
      </c>
      <c r="AJ3" s="80">
        <v>0</v>
      </c>
      <c r="AK3" s="80">
        <v>0</v>
      </c>
      <c r="AL3" s="80">
        <v>0</v>
      </c>
      <c r="AM3" s="80" t="s">
        <v>5614</v>
      </c>
      <c r="AN3" s="102" t="str">
        <f>HYPERLINK("https://www.youtube.com/watch?v=moFVMo6_xi0")</f>
        <v>https://www.youtube.com/watch?v=moFVMo6_xi0</v>
      </c>
      <c r="AO3" s="3"/>
      <c r="AP3" s="3"/>
    </row>
    <row r="4" spans="1:45" ht="15">
      <c r="A4" s="66" t="s">
        <v>272</v>
      </c>
      <c r="B4" s="67"/>
      <c r="C4" s="67"/>
      <c r="D4" s="68"/>
      <c r="E4" s="70"/>
      <c r="F4" s="100" t="str">
        <f>HYPERLINK("https://i.ytimg.com/vi/zhamxkmgpgM/default.jpg")</f>
        <v>https://i.ytimg.com/vi/zhamxkmgpgM/default.jpg</v>
      </c>
      <c r="G4" s="67"/>
      <c r="H4" s="71"/>
      <c r="I4" s="72"/>
      <c r="J4" s="72"/>
      <c r="K4" s="71" t="s">
        <v>1247</v>
      </c>
      <c r="L4" s="75"/>
      <c r="M4" s="76">
        <v>3674.163818359375</v>
      </c>
      <c r="N4" s="76">
        <v>6701</v>
      </c>
      <c r="O4" s="77"/>
      <c r="P4" s="78"/>
      <c r="Q4" s="78"/>
      <c r="R4" s="82"/>
      <c r="S4" s="82"/>
      <c r="T4" s="82"/>
      <c r="U4" s="82"/>
      <c r="V4" s="52"/>
      <c r="W4" s="52"/>
      <c r="X4" s="52"/>
      <c r="Y4" s="52"/>
      <c r="Z4" s="51"/>
      <c r="AA4" s="73">
        <v>4</v>
      </c>
      <c r="AB4" s="73"/>
      <c r="AC4" s="74"/>
      <c r="AD4" s="80" t="s">
        <v>1247</v>
      </c>
      <c r="AE4" s="80" t="s">
        <v>2289</v>
      </c>
      <c r="AF4" s="80" t="s">
        <v>3177</v>
      </c>
      <c r="AG4" s="80" t="s">
        <v>3867</v>
      </c>
      <c r="AH4" s="80" t="s">
        <v>4557</v>
      </c>
      <c r="AI4" s="80">
        <v>239191</v>
      </c>
      <c r="AJ4" s="80">
        <v>1692</v>
      </c>
      <c r="AK4" s="80">
        <v>4078</v>
      </c>
      <c r="AL4" s="80">
        <v>105</v>
      </c>
      <c r="AM4" s="80" t="s">
        <v>5614</v>
      </c>
      <c r="AN4" s="102" t="str">
        <f>HYPERLINK("https://www.youtube.com/watch?v=zhamxkmgpgM")</f>
        <v>https://www.youtube.com/watch?v=zhamxkmgpgM</v>
      </c>
      <c r="AO4" s="2"/>
      <c r="AP4" s="3"/>
      <c r="AQ4" s="3"/>
      <c r="AR4" s="3"/>
      <c r="AS4" s="3"/>
    </row>
    <row r="5" spans="1:45" ht="15">
      <c r="A5" s="66" t="s">
        <v>228</v>
      </c>
      <c r="B5" s="67"/>
      <c r="C5" s="67"/>
      <c r="D5" s="68"/>
      <c r="E5" s="70"/>
      <c r="F5" s="100" t="str">
        <f>HYPERLINK("https://i.ytimg.com/vi/6vdLLfCzMDI/default.jpg")</f>
        <v>https://i.ytimg.com/vi/6vdLLfCzMDI/default.jpg</v>
      </c>
      <c r="G5" s="67"/>
      <c r="H5" s="71"/>
      <c r="I5" s="72"/>
      <c r="J5" s="72"/>
      <c r="K5" s="71" t="s">
        <v>1248</v>
      </c>
      <c r="L5" s="75"/>
      <c r="M5" s="76">
        <v>4855.9091796875</v>
      </c>
      <c r="N5" s="76">
        <v>7067.1474609375</v>
      </c>
      <c r="O5" s="77"/>
      <c r="P5" s="78"/>
      <c r="Q5" s="78"/>
      <c r="R5" s="82"/>
      <c r="S5" s="82"/>
      <c r="T5" s="82"/>
      <c r="U5" s="82"/>
      <c r="V5" s="52"/>
      <c r="W5" s="52"/>
      <c r="X5" s="52"/>
      <c r="Y5" s="52"/>
      <c r="Z5" s="51"/>
      <c r="AA5" s="73">
        <v>5</v>
      </c>
      <c r="AB5" s="73"/>
      <c r="AC5" s="74"/>
      <c r="AD5" s="80" t="s">
        <v>1248</v>
      </c>
      <c r="AE5" s="80" t="s">
        <v>2290</v>
      </c>
      <c r="AF5" s="80" t="s">
        <v>3178</v>
      </c>
      <c r="AG5" s="80" t="s">
        <v>3868</v>
      </c>
      <c r="AH5" s="80" t="s">
        <v>4558</v>
      </c>
      <c r="AI5" s="80">
        <v>1847973</v>
      </c>
      <c r="AJ5" s="80">
        <v>1395</v>
      </c>
      <c r="AK5" s="80">
        <v>83156</v>
      </c>
      <c r="AL5" s="80">
        <v>523</v>
      </c>
      <c r="AM5" s="80" t="s">
        <v>5614</v>
      </c>
      <c r="AN5" s="102" t="str">
        <f>HYPERLINK("https://www.youtube.com/watch?v=6vdLLfCzMDI")</f>
        <v>https://www.youtube.com/watch?v=6vdLLfCzMDI</v>
      </c>
      <c r="AO5" s="2"/>
      <c r="AP5" s="3"/>
      <c r="AQ5" s="3"/>
      <c r="AR5" s="3"/>
      <c r="AS5" s="3"/>
    </row>
    <row r="6" spans="1:45" ht="15">
      <c r="A6" s="66" t="s">
        <v>229</v>
      </c>
      <c r="B6" s="67"/>
      <c r="C6" s="67"/>
      <c r="D6" s="68"/>
      <c r="E6" s="70"/>
      <c r="F6" s="100" t="str">
        <f>HYPERLINK("https://i.ytimg.com/vi/6_qbmQ6Y090/default.jpg")</f>
        <v>https://i.ytimg.com/vi/6_qbmQ6Y090/default.jpg</v>
      </c>
      <c r="G6" s="67"/>
      <c r="H6" s="71"/>
      <c r="I6" s="72"/>
      <c r="J6" s="72"/>
      <c r="K6" s="71" t="s">
        <v>1249</v>
      </c>
      <c r="L6" s="75"/>
      <c r="M6" s="76">
        <v>3524.794189453125</v>
      </c>
      <c r="N6" s="76">
        <v>6620.53759765625</v>
      </c>
      <c r="O6" s="77"/>
      <c r="P6" s="78"/>
      <c r="Q6" s="78"/>
      <c r="R6" s="82"/>
      <c r="S6" s="82"/>
      <c r="T6" s="82"/>
      <c r="U6" s="82"/>
      <c r="V6" s="52"/>
      <c r="W6" s="52"/>
      <c r="X6" s="52"/>
      <c r="Y6" s="52"/>
      <c r="Z6" s="51"/>
      <c r="AA6" s="73">
        <v>6</v>
      </c>
      <c r="AB6" s="73"/>
      <c r="AC6" s="74"/>
      <c r="AD6" s="80" t="s">
        <v>1249</v>
      </c>
      <c r="AE6" s="80" t="s">
        <v>2291</v>
      </c>
      <c r="AF6" s="80" t="s">
        <v>3179</v>
      </c>
      <c r="AG6" s="80" t="s">
        <v>3869</v>
      </c>
      <c r="AH6" s="80" t="s">
        <v>4559</v>
      </c>
      <c r="AI6" s="80">
        <v>2507496</v>
      </c>
      <c r="AJ6" s="80">
        <v>0</v>
      </c>
      <c r="AK6" s="80">
        <v>9762</v>
      </c>
      <c r="AL6" s="80">
        <v>5699</v>
      </c>
      <c r="AM6" s="80" t="s">
        <v>5614</v>
      </c>
      <c r="AN6" s="102" t="str">
        <f>HYPERLINK("https://www.youtube.com/watch?v=6_qbmQ6Y090")</f>
        <v>https://www.youtube.com/watch?v=6_qbmQ6Y090</v>
      </c>
      <c r="AO6" s="2"/>
      <c r="AP6" s="3"/>
      <c r="AQ6" s="3"/>
      <c r="AR6" s="3"/>
      <c r="AS6" s="3"/>
    </row>
    <row r="7" spans="1:45" ht="15">
      <c r="A7" s="66" t="s">
        <v>230</v>
      </c>
      <c r="B7" s="67"/>
      <c r="C7" s="67"/>
      <c r="D7" s="68"/>
      <c r="E7" s="70"/>
      <c r="F7" s="100" t="str">
        <f>HYPERLINK("https://i.ytimg.com/vi/ho8mJ78Zz3Y/default.jpg")</f>
        <v>https://i.ytimg.com/vi/ho8mJ78Zz3Y/default.jpg</v>
      </c>
      <c r="G7" s="67"/>
      <c r="H7" s="71"/>
      <c r="I7" s="72"/>
      <c r="J7" s="72"/>
      <c r="K7" s="71" t="s">
        <v>1250</v>
      </c>
      <c r="L7" s="75"/>
      <c r="M7" s="76">
        <v>3815.332763671875</v>
      </c>
      <c r="N7" s="76">
        <v>6770.51611328125</v>
      </c>
      <c r="O7" s="77"/>
      <c r="P7" s="78"/>
      <c r="Q7" s="78"/>
      <c r="R7" s="82"/>
      <c r="S7" s="82"/>
      <c r="T7" s="82"/>
      <c r="U7" s="82"/>
      <c r="V7" s="52"/>
      <c r="W7" s="52"/>
      <c r="X7" s="52"/>
      <c r="Y7" s="52"/>
      <c r="Z7" s="51"/>
      <c r="AA7" s="73">
        <v>7</v>
      </c>
      <c r="AB7" s="73"/>
      <c r="AC7" s="74"/>
      <c r="AD7" s="80" t="s">
        <v>1250</v>
      </c>
      <c r="AE7" s="80" t="s">
        <v>2292</v>
      </c>
      <c r="AF7" s="80" t="s">
        <v>3180</v>
      </c>
      <c r="AG7" s="80" t="s">
        <v>3870</v>
      </c>
      <c r="AH7" s="80" t="s">
        <v>4560</v>
      </c>
      <c r="AI7" s="80">
        <v>2354908</v>
      </c>
      <c r="AJ7" s="80">
        <v>0</v>
      </c>
      <c r="AK7" s="80">
        <v>13502</v>
      </c>
      <c r="AL7" s="80">
        <v>8425</v>
      </c>
      <c r="AM7" s="80" t="s">
        <v>5614</v>
      </c>
      <c r="AN7" s="102" t="str">
        <f>HYPERLINK("https://www.youtube.com/watch?v=ho8mJ78Zz3Y")</f>
        <v>https://www.youtube.com/watch?v=ho8mJ78Zz3Y</v>
      </c>
      <c r="AO7" s="2"/>
      <c r="AP7" s="3"/>
      <c r="AQ7" s="3"/>
      <c r="AR7" s="3"/>
      <c r="AS7" s="3"/>
    </row>
    <row r="8" spans="1:45" ht="15">
      <c r="A8" s="66" t="s">
        <v>231</v>
      </c>
      <c r="B8" s="67"/>
      <c r="C8" s="67"/>
      <c r="D8" s="68"/>
      <c r="E8" s="70"/>
      <c r="F8" s="100" t="str">
        <f>HYPERLINK("https://i.ytimg.com/vi/2lBFoxLvYHs/default.jpg")</f>
        <v>https://i.ytimg.com/vi/2lBFoxLvYHs/default.jpg</v>
      </c>
      <c r="G8" s="67"/>
      <c r="H8" s="71"/>
      <c r="I8" s="72"/>
      <c r="J8" s="72"/>
      <c r="K8" s="71" t="s">
        <v>1251</v>
      </c>
      <c r="L8" s="75"/>
      <c r="M8" s="76">
        <v>4898.19677734375</v>
      </c>
      <c r="N8" s="76">
        <v>7060.1875</v>
      </c>
      <c r="O8" s="77"/>
      <c r="P8" s="78"/>
      <c r="Q8" s="78"/>
      <c r="R8" s="82"/>
      <c r="S8" s="82"/>
      <c r="T8" s="82"/>
      <c r="U8" s="82"/>
      <c r="V8" s="52"/>
      <c r="W8" s="52"/>
      <c r="X8" s="52"/>
      <c r="Y8" s="52"/>
      <c r="Z8" s="51"/>
      <c r="AA8" s="73">
        <v>8</v>
      </c>
      <c r="AB8" s="73"/>
      <c r="AC8" s="74"/>
      <c r="AD8" s="80" t="s">
        <v>1251</v>
      </c>
      <c r="AE8" s="80" t="s">
        <v>2293</v>
      </c>
      <c r="AF8" s="80" t="s">
        <v>3181</v>
      </c>
      <c r="AG8" s="80" t="s">
        <v>3871</v>
      </c>
      <c r="AH8" s="80" t="s">
        <v>4561</v>
      </c>
      <c r="AI8" s="80">
        <v>2287063</v>
      </c>
      <c r="AJ8" s="80">
        <v>10990</v>
      </c>
      <c r="AK8" s="80">
        <v>136200</v>
      </c>
      <c r="AL8" s="80">
        <v>1895</v>
      </c>
      <c r="AM8" s="80" t="s">
        <v>5614</v>
      </c>
      <c r="AN8" s="102" t="str">
        <f>HYPERLINK("https://www.youtube.com/watch?v=2lBFoxLvYHs")</f>
        <v>https://www.youtube.com/watch?v=2lBFoxLvYHs</v>
      </c>
      <c r="AO8" s="2"/>
      <c r="AP8" s="3"/>
      <c r="AQ8" s="3"/>
      <c r="AR8" s="3"/>
      <c r="AS8" s="3"/>
    </row>
    <row r="9" spans="1:45" ht="15">
      <c r="A9" s="66" t="s">
        <v>232</v>
      </c>
      <c r="B9" s="67"/>
      <c r="C9" s="67"/>
      <c r="D9" s="68"/>
      <c r="E9" s="70"/>
      <c r="F9" s="100" t="str">
        <f>HYPERLINK("https://i.ytimg.com/vi/E7U6LiYHpnY/default.jpg")</f>
        <v>https://i.ytimg.com/vi/E7U6LiYHpnY/default.jpg</v>
      </c>
      <c r="G9" s="67"/>
      <c r="H9" s="71"/>
      <c r="I9" s="72"/>
      <c r="J9" s="72"/>
      <c r="K9" s="71" t="s">
        <v>1252</v>
      </c>
      <c r="L9" s="75"/>
      <c r="M9" s="76">
        <v>3758.881103515625</v>
      </c>
      <c r="N9" s="76">
        <v>6736.416015625</v>
      </c>
      <c r="O9" s="77"/>
      <c r="P9" s="78"/>
      <c r="Q9" s="78"/>
      <c r="R9" s="82"/>
      <c r="S9" s="82"/>
      <c r="T9" s="82"/>
      <c r="U9" s="82"/>
      <c r="V9" s="52"/>
      <c r="W9" s="52"/>
      <c r="X9" s="52"/>
      <c r="Y9" s="52"/>
      <c r="Z9" s="51"/>
      <c r="AA9" s="73">
        <v>9</v>
      </c>
      <c r="AB9" s="73"/>
      <c r="AC9" s="74"/>
      <c r="AD9" s="80" t="s">
        <v>1252</v>
      </c>
      <c r="AE9" s="80" t="s">
        <v>2294</v>
      </c>
      <c r="AF9" s="80" t="s">
        <v>3182</v>
      </c>
      <c r="AG9" s="80" t="s">
        <v>3869</v>
      </c>
      <c r="AH9" s="80" t="s">
        <v>4562</v>
      </c>
      <c r="AI9" s="80">
        <v>1710469</v>
      </c>
      <c r="AJ9" s="80">
        <v>0</v>
      </c>
      <c r="AK9" s="80">
        <v>5949</v>
      </c>
      <c r="AL9" s="80">
        <v>3173</v>
      </c>
      <c r="AM9" s="80" t="s">
        <v>5614</v>
      </c>
      <c r="AN9" s="102" t="str">
        <f>HYPERLINK("https://www.youtube.com/watch?v=E7U6LiYHpnY")</f>
        <v>https://www.youtube.com/watch?v=E7U6LiYHpnY</v>
      </c>
      <c r="AO9" s="2"/>
      <c r="AP9" s="3"/>
      <c r="AQ9" s="3"/>
      <c r="AR9" s="3"/>
      <c r="AS9" s="3"/>
    </row>
    <row r="10" spans="1:45" ht="15">
      <c r="A10" s="66" t="s">
        <v>233</v>
      </c>
      <c r="B10" s="67"/>
      <c r="C10" s="67"/>
      <c r="D10" s="68"/>
      <c r="E10" s="70"/>
      <c r="F10" s="100" t="str">
        <f>HYPERLINK("https://i.ytimg.com/vi/gSVEE0JIbRs/default.jpg")</f>
        <v>https://i.ytimg.com/vi/gSVEE0JIbRs/default.jpg</v>
      </c>
      <c r="G10" s="67"/>
      <c r="H10" s="71"/>
      <c r="I10" s="72"/>
      <c r="J10" s="72"/>
      <c r="K10" s="71" t="s">
        <v>1253</v>
      </c>
      <c r="L10" s="75"/>
      <c r="M10" s="76">
        <v>4718.5458984375</v>
      </c>
      <c r="N10" s="76">
        <v>7006.43212890625</v>
      </c>
      <c r="O10" s="77"/>
      <c r="P10" s="78"/>
      <c r="Q10" s="78"/>
      <c r="R10" s="82"/>
      <c r="S10" s="82"/>
      <c r="T10" s="82"/>
      <c r="U10" s="82"/>
      <c r="V10" s="52"/>
      <c r="W10" s="52"/>
      <c r="X10" s="52"/>
      <c r="Y10" s="52"/>
      <c r="Z10" s="51"/>
      <c r="AA10" s="73">
        <v>10</v>
      </c>
      <c r="AB10" s="73"/>
      <c r="AC10" s="74"/>
      <c r="AD10" s="80" t="s">
        <v>1253</v>
      </c>
      <c r="AE10" s="80" t="s">
        <v>2295</v>
      </c>
      <c r="AF10" s="80"/>
      <c r="AG10" s="80" t="s">
        <v>3872</v>
      </c>
      <c r="AH10" s="80" t="s">
        <v>4563</v>
      </c>
      <c r="AI10" s="80">
        <v>1989397</v>
      </c>
      <c r="AJ10" s="80">
        <v>6131</v>
      </c>
      <c r="AK10" s="80">
        <v>39405</v>
      </c>
      <c r="AL10" s="80">
        <v>964</v>
      </c>
      <c r="AM10" s="80" t="s">
        <v>5614</v>
      </c>
      <c r="AN10" s="102" t="str">
        <f>HYPERLINK("https://www.youtube.com/watch?v=gSVEE0JIbRs")</f>
        <v>https://www.youtube.com/watch?v=gSVEE0JIbRs</v>
      </c>
      <c r="AO10" s="2"/>
      <c r="AP10" s="3"/>
      <c r="AQ10" s="3"/>
      <c r="AR10" s="3"/>
      <c r="AS10" s="3"/>
    </row>
    <row r="11" spans="1:45" ht="15">
      <c r="A11" s="66" t="s">
        <v>234</v>
      </c>
      <c r="B11" s="67"/>
      <c r="C11" s="67"/>
      <c r="D11" s="68"/>
      <c r="E11" s="70"/>
      <c r="F11" s="100" t="str">
        <f>HYPERLINK("https://i.ytimg.com/vi/rzi_iXUTuXY/default.jpg")</f>
        <v>https://i.ytimg.com/vi/rzi_iXUTuXY/default.jpg</v>
      </c>
      <c r="G11" s="67"/>
      <c r="H11" s="71"/>
      <c r="I11" s="72"/>
      <c r="J11" s="72"/>
      <c r="K11" s="71" t="s">
        <v>1254</v>
      </c>
      <c r="L11" s="75"/>
      <c r="M11" s="76">
        <v>4643.2216796875</v>
      </c>
      <c r="N11" s="76">
        <v>7009.27294921875</v>
      </c>
      <c r="O11" s="77"/>
      <c r="P11" s="78"/>
      <c r="Q11" s="78"/>
      <c r="R11" s="82"/>
      <c r="S11" s="82"/>
      <c r="T11" s="82"/>
      <c r="U11" s="82"/>
      <c r="V11" s="52"/>
      <c r="W11" s="52"/>
      <c r="X11" s="52"/>
      <c r="Y11" s="52"/>
      <c r="Z11" s="51"/>
      <c r="AA11" s="73">
        <v>11</v>
      </c>
      <c r="AB11" s="73"/>
      <c r="AC11" s="74"/>
      <c r="AD11" s="80" t="s">
        <v>1254</v>
      </c>
      <c r="AE11" s="80" t="s">
        <v>2296</v>
      </c>
      <c r="AF11" s="80" t="s">
        <v>3183</v>
      </c>
      <c r="AG11" s="80" t="s">
        <v>3873</v>
      </c>
      <c r="AH11" s="80" t="s">
        <v>4564</v>
      </c>
      <c r="AI11" s="80">
        <v>3206504</v>
      </c>
      <c r="AJ11" s="80">
        <v>10131</v>
      </c>
      <c r="AK11" s="80">
        <v>211407</v>
      </c>
      <c r="AL11" s="80">
        <v>1196</v>
      </c>
      <c r="AM11" s="80" t="s">
        <v>5614</v>
      </c>
      <c r="AN11" s="102" t="str">
        <f>HYPERLINK("https://www.youtube.com/watch?v=rzi_iXUTuXY")</f>
        <v>https://www.youtube.com/watch?v=rzi_iXUTuXY</v>
      </c>
      <c r="AO11" s="2"/>
      <c r="AP11" s="3"/>
      <c r="AQ11" s="3"/>
      <c r="AR11" s="3"/>
      <c r="AS11" s="3"/>
    </row>
    <row r="12" spans="1:45" ht="15">
      <c r="A12" s="66" t="s">
        <v>235</v>
      </c>
      <c r="B12" s="67"/>
      <c r="C12" s="67"/>
      <c r="D12" s="68"/>
      <c r="E12" s="70"/>
      <c r="F12" s="100" t="str">
        <f>HYPERLINK("https://i.ytimg.com/vi/ADvzDvzIVIQ/default.jpg")</f>
        <v>https://i.ytimg.com/vi/ADvzDvzIVIQ/default.jpg</v>
      </c>
      <c r="G12" s="67"/>
      <c r="H12" s="71"/>
      <c r="I12" s="72"/>
      <c r="J12" s="72"/>
      <c r="K12" s="71" t="s">
        <v>1255</v>
      </c>
      <c r="L12" s="75"/>
      <c r="M12" s="76">
        <v>4014.962890625</v>
      </c>
      <c r="N12" s="76">
        <v>6860.736328125</v>
      </c>
      <c r="O12" s="77"/>
      <c r="P12" s="78"/>
      <c r="Q12" s="78"/>
      <c r="R12" s="82"/>
      <c r="S12" s="82"/>
      <c r="T12" s="82"/>
      <c r="U12" s="82"/>
      <c r="V12" s="52"/>
      <c r="W12" s="52"/>
      <c r="X12" s="52"/>
      <c r="Y12" s="52"/>
      <c r="Z12" s="51"/>
      <c r="AA12" s="73">
        <v>12</v>
      </c>
      <c r="AB12" s="73"/>
      <c r="AC12" s="74"/>
      <c r="AD12" s="80" t="s">
        <v>1255</v>
      </c>
      <c r="AE12" s="80" t="s">
        <v>2297</v>
      </c>
      <c r="AF12" s="80" t="s">
        <v>3184</v>
      </c>
      <c r="AG12" s="80" t="s">
        <v>3874</v>
      </c>
      <c r="AH12" s="80" t="s">
        <v>4565</v>
      </c>
      <c r="AI12" s="80">
        <v>16058595</v>
      </c>
      <c r="AJ12" s="80">
        <v>0</v>
      </c>
      <c r="AK12" s="80">
        <v>102244</v>
      </c>
      <c r="AL12" s="80">
        <v>62703</v>
      </c>
      <c r="AM12" s="80" t="s">
        <v>5614</v>
      </c>
      <c r="AN12" s="102" t="str">
        <f>HYPERLINK("https://www.youtube.com/watch?v=ADvzDvzIVIQ")</f>
        <v>https://www.youtube.com/watch?v=ADvzDvzIVIQ</v>
      </c>
      <c r="AO12" s="2"/>
      <c r="AP12" s="3"/>
      <c r="AQ12" s="3"/>
      <c r="AR12" s="3"/>
      <c r="AS12" s="3"/>
    </row>
    <row r="13" spans="1:45" ht="15">
      <c r="A13" s="66" t="s">
        <v>236</v>
      </c>
      <c r="B13" s="67"/>
      <c r="C13" s="67"/>
      <c r="D13" s="68"/>
      <c r="E13" s="70"/>
      <c r="F13" s="100" t="str">
        <f>HYPERLINK("https://i.ytimg.com/vi/5VYb3B1ETlk/default.jpg")</f>
        <v>https://i.ytimg.com/vi/5VYb3B1ETlk/default.jpg</v>
      </c>
      <c r="G13" s="67"/>
      <c r="H13" s="71"/>
      <c r="I13" s="72"/>
      <c r="J13" s="72"/>
      <c r="K13" s="71" t="s">
        <v>1256</v>
      </c>
      <c r="L13" s="75"/>
      <c r="M13" s="76">
        <v>4747.685546875</v>
      </c>
      <c r="N13" s="76">
        <v>7053.5283203125</v>
      </c>
      <c r="O13" s="77"/>
      <c r="P13" s="78"/>
      <c r="Q13" s="78"/>
      <c r="R13" s="82"/>
      <c r="S13" s="82"/>
      <c r="T13" s="82"/>
      <c r="U13" s="82"/>
      <c r="V13" s="52"/>
      <c r="W13" s="52"/>
      <c r="X13" s="52"/>
      <c r="Y13" s="52"/>
      <c r="Z13" s="51"/>
      <c r="AA13" s="73">
        <v>13</v>
      </c>
      <c r="AB13" s="73"/>
      <c r="AC13" s="74"/>
      <c r="AD13" s="80" t="s">
        <v>1256</v>
      </c>
      <c r="AE13" s="80" t="s">
        <v>2298</v>
      </c>
      <c r="AF13" s="80" t="s">
        <v>3185</v>
      </c>
      <c r="AG13" s="80" t="s">
        <v>3875</v>
      </c>
      <c r="AH13" s="80" t="s">
        <v>4566</v>
      </c>
      <c r="AI13" s="80">
        <v>11543700</v>
      </c>
      <c r="AJ13" s="80">
        <v>29988</v>
      </c>
      <c r="AK13" s="80">
        <v>679380</v>
      </c>
      <c r="AL13" s="80">
        <v>7699</v>
      </c>
      <c r="AM13" s="80" t="s">
        <v>5614</v>
      </c>
      <c r="AN13" s="102" t="str">
        <f>HYPERLINK("https://www.youtube.com/watch?v=5VYb3B1ETlk")</f>
        <v>https://www.youtube.com/watch?v=5VYb3B1ETlk</v>
      </c>
      <c r="AO13" s="2"/>
      <c r="AP13" s="3"/>
      <c r="AQ13" s="3"/>
      <c r="AR13" s="3"/>
      <c r="AS13" s="3"/>
    </row>
    <row r="14" spans="1:45" ht="15">
      <c r="A14" s="66" t="s">
        <v>227</v>
      </c>
      <c r="B14" s="67"/>
      <c r="C14" s="67"/>
      <c r="D14" s="68"/>
      <c r="E14" s="70"/>
      <c r="F14" s="100" t="str">
        <f>HYPERLINK("https://i.ytimg.com/vi/WZhNmWwb5p8/default.jpg")</f>
        <v>https://i.ytimg.com/vi/WZhNmWwb5p8/default.jpg</v>
      </c>
      <c r="G14" s="67"/>
      <c r="H14" s="71"/>
      <c r="I14" s="72"/>
      <c r="J14" s="72"/>
      <c r="K14" s="71" t="s">
        <v>1257</v>
      </c>
      <c r="L14" s="75"/>
      <c r="M14" s="76">
        <v>5921.802734375</v>
      </c>
      <c r="N14" s="76">
        <v>3977.74267578125</v>
      </c>
      <c r="O14" s="77"/>
      <c r="P14" s="78"/>
      <c r="Q14" s="78"/>
      <c r="R14" s="82"/>
      <c r="S14" s="82"/>
      <c r="T14" s="82"/>
      <c r="U14" s="82"/>
      <c r="V14" s="52"/>
      <c r="W14" s="52"/>
      <c r="X14" s="52"/>
      <c r="Y14" s="52"/>
      <c r="Z14" s="51"/>
      <c r="AA14" s="73">
        <v>14</v>
      </c>
      <c r="AB14" s="73"/>
      <c r="AC14" s="74"/>
      <c r="AD14" s="80" t="s">
        <v>1257</v>
      </c>
      <c r="AE14" s="80"/>
      <c r="AF14" s="80" t="s">
        <v>3186</v>
      </c>
      <c r="AG14" s="80" t="s">
        <v>3876</v>
      </c>
      <c r="AH14" s="80" t="s">
        <v>4567</v>
      </c>
      <c r="AI14" s="80">
        <v>9673</v>
      </c>
      <c r="AJ14" s="80">
        <v>20</v>
      </c>
      <c r="AK14" s="80">
        <v>197</v>
      </c>
      <c r="AL14" s="80">
        <v>9</v>
      </c>
      <c r="AM14" s="80" t="s">
        <v>5614</v>
      </c>
      <c r="AN14" s="102" t="str">
        <f>HYPERLINK("https://www.youtube.com/watch?v=WZhNmWwb5p8")</f>
        <v>https://www.youtube.com/watch?v=WZhNmWwb5p8</v>
      </c>
      <c r="AO14" s="2"/>
      <c r="AP14" s="3"/>
      <c r="AQ14" s="3"/>
      <c r="AR14" s="3"/>
      <c r="AS14" s="3"/>
    </row>
    <row r="15" spans="1:45" ht="15">
      <c r="A15" s="66" t="s">
        <v>237</v>
      </c>
      <c r="B15" s="67"/>
      <c r="C15" s="67"/>
      <c r="D15" s="68"/>
      <c r="E15" s="70"/>
      <c r="F15" s="100" t="str">
        <f>HYPERLINK("https://i.ytimg.com/vi/ZwzHCOfqCb8/default.jpg")</f>
        <v>https://i.ytimg.com/vi/ZwzHCOfqCb8/default.jpg</v>
      </c>
      <c r="G15" s="67"/>
      <c r="H15" s="71"/>
      <c r="I15" s="72"/>
      <c r="J15" s="72"/>
      <c r="K15" s="71" t="s">
        <v>1258</v>
      </c>
      <c r="L15" s="75"/>
      <c r="M15" s="76">
        <v>3630.271728515625</v>
      </c>
      <c r="N15" s="76">
        <v>6705.7685546875</v>
      </c>
      <c r="O15" s="77"/>
      <c r="P15" s="78"/>
      <c r="Q15" s="78"/>
      <c r="R15" s="82"/>
      <c r="S15" s="82"/>
      <c r="T15" s="82"/>
      <c r="U15" s="82"/>
      <c r="V15" s="52"/>
      <c r="W15" s="52"/>
      <c r="X15" s="52"/>
      <c r="Y15" s="52"/>
      <c r="Z15" s="51"/>
      <c r="AA15" s="73">
        <v>15</v>
      </c>
      <c r="AB15" s="73"/>
      <c r="AC15" s="74"/>
      <c r="AD15" s="80" t="s">
        <v>1258</v>
      </c>
      <c r="AE15" s="80" t="s">
        <v>2299</v>
      </c>
      <c r="AF15" s="80" t="s">
        <v>3187</v>
      </c>
      <c r="AG15" s="80" t="s">
        <v>3874</v>
      </c>
      <c r="AH15" s="80" t="s">
        <v>4568</v>
      </c>
      <c r="AI15" s="80">
        <v>7796538</v>
      </c>
      <c r="AJ15" s="80">
        <v>0</v>
      </c>
      <c r="AK15" s="80">
        <v>51064</v>
      </c>
      <c r="AL15" s="80">
        <v>29365</v>
      </c>
      <c r="AM15" s="80" t="s">
        <v>5614</v>
      </c>
      <c r="AN15" s="102" t="str">
        <f>HYPERLINK("https://www.youtube.com/watch?v=ZwzHCOfqCb8")</f>
        <v>https://www.youtube.com/watch?v=ZwzHCOfqCb8</v>
      </c>
      <c r="AO15" s="2"/>
      <c r="AP15" s="3"/>
      <c r="AQ15" s="3"/>
      <c r="AR15" s="3"/>
      <c r="AS15" s="3"/>
    </row>
    <row r="16" spans="1:45" ht="15">
      <c r="A16" s="66" t="s">
        <v>238</v>
      </c>
      <c r="B16" s="67"/>
      <c r="C16" s="67"/>
      <c r="D16" s="68"/>
      <c r="E16" s="70"/>
      <c r="F16" s="100" t="str">
        <f>HYPERLINK("https://i.ytimg.com/vi/nmjI3XEVSuc/default.jpg")</f>
        <v>https://i.ytimg.com/vi/nmjI3XEVSuc/default.jpg</v>
      </c>
      <c r="G16" s="67"/>
      <c r="H16" s="71"/>
      <c r="I16" s="72"/>
      <c r="J16" s="72"/>
      <c r="K16" s="71" t="s">
        <v>1259</v>
      </c>
      <c r="L16" s="75"/>
      <c r="M16" s="76">
        <v>4849.10107421875</v>
      </c>
      <c r="N16" s="76">
        <v>7018.2861328125</v>
      </c>
      <c r="O16" s="77"/>
      <c r="P16" s="78"/>
      <c r="Q16" s="78"/>
      <c r="R16" s="82"/>
      <c r="S16" s="82"/>
      <c r="T16" s="82"/>
      <c r="U16" s="82"/>
      <c r="V16" s="52"/>
      <c r="W16" s="52"/>
      <c r="X16" s="52"/>
      <c r="Y16" s="52"/>
      <c r="Z16" s="51"/>
      <c r="AA16" s="73">
        <v>16</v>
      </c>
      <c r="AB16" s="73"/>
      <c r="AC16" s="74"/>
      <c r="AD16" s="80" t="s">
        <v>1259</v>
      </c>
      <c r="AE16" s="80" t="s">
        <v>2300</v>
      </c>
      <c r="AF16" s="80" t="s">
        <v>3188</v>
      </c>
      <c r="AG16" s="80" t="s">
        <v>3868</v>
      </c>
      <c r="AH16" s="80" t="s">
        <v>4569</v>
      </c>
      <c r="AI16" s="80">
        <v>2062494</v>
      </c>
      <c r="AJ16" s="80">
        <v>1440</v>
      </c>
      <c r="AK16" s="80">
        <v>85778</v>
      </c>
      <c r="AL16" s="80">
        <v>781</v>
      </c>
      <c r="AM16" s="80" t="s">
        <v>5614</v>
      </c>
      <c r="AN16" s="102" t="str">
        <f>HYPERLINK("https://www.youtube.com/watch?v=nmjI3XEVSuc")</f>
        <v>https://www.youtube.com/watch?v=nmjI3XEVSuc</v>
      </c>
      <c r="AO16" s="2"/>
      <c r="AP16" s="3"/>
      <c r="AQ16" s="3"/>
      <c r="AR16" s="3"/>
      <c r="AS16" s="3"/>
    </row>
    <row r="17" spans="1:45" ht="15">
      <c r="A17" s="66" t="s">
        <v>179</v>
      </c>
      <c r="B17" s="67"/>
      <c r="C17" s="67"/>
      <c r="D17" s="68"/>
      <c r="E17" s="70"/>
      <c r="F17" s="100" t="str">
        <f>HYPERLINK("https://i.ytimg.com/vi/cYYox-ezyG4/default.jpg")</f>
        <v>https://i.ytimg.com/vi/cYYox-ezyG4/default.jpg</v>
      </c>
      <c r="G17" s="67"/>
      <c r="H17" s="71"/>
      <c r="I17" s="72"/>
      <c r="J17" s="72"/>
      <c r="K17" s="71" t="s">
        <v>1260</v>
      </c>
      <c r="L17" s="75"/>
      <c r="M17" s="76">
        <v>5274.8935546875</v>
      </c>
      <c r="N17" s="76">
        <v>3265.01708984375</v>
      </c>
      <c r="O17" s="77"/>
      <c r="P17" s="78"/>
      <c r="Q17" s="78"/>
      <c r="R17" s="82"/>
      <c r="S17" s="82"/>
      <c r="T17" s="82"/>
      <c r="U17" s="82"/>
      <c r="V17" s="52"/>
      <c r="W17" s="52"/>
      <c r="X17" s="52"/>
      <c r="Y17" s="52"/>
      <c r="Z17" s="51"/>
      <c r="AA17" s="73">
        <v>17</v>
      </c>
      <c r="AB17" s="73"/>
      <c r="AC17" s="74"/>
      <c r="AD17" s="80" t="s">
        <v>1260</v>
      </c>
      <c r="AE17" s="80" t="s">
        <v>2301</v>
      </c>
      <c r="AF17" s="80" t="s">
        <v>3189</v>
      </c>
      <c r="AG17" s="80" t="s">
        <v>3877</v>
      </c>
      <c r="AH17" s="80" t="s">
        <v>4570</v>
      </c>
      <c r="AI17" s="80">
        <v>9680</v>
      </c>
      <c r="AJ17" s="80">
        <v>4</v>
      </c>
      <c r="AK17" s="80">
        <v>37</v>
      </c>
      <c r="AL17" s="80">
        <v>1</v>
      </c>
      <c r="AM17" s="80" t="s">
        <v>5614</v>
      </c>
      <c r="AN17" s="102" t="str">
        <f>HYPERLINK("https://www.youtube.com/watch?v=cYYox-ezyG4")</f>
        <v>https://www.youtube.com/watch?v=cYYox-ezyG4</v>
      </c>
      <c r="AO17" s="2"/>
      <c r="AP17" s="3"/>
      <c r="AQ17" s="3"/>
      <c r="AR17" s="3"/>
      <c r="AS17" s="3"/>
    </row>
    <row r="18" spans="1:45" ht="15">
      <c r="A18" s="66" t="s">
        <v>239</v>
      </c>
      <c r="B18" s="67"/>
      <c r="C18" s="67"/>
      <c r="D18" s="68"/>
      <c r="E18" s="70"/>
      <c r="F18" s="100" t="str">
        <f>HYPERLINK("https://i.ytimg.com/vi/uBW70d6034E/default.jpg")</f>
        <v>https://i.ytimg.com/vi/uBW70d6034E/default.jpg</v>
      </c>
      <c r="G18" s="67"/>
      <c r="H18" s="71"/>
      <c r="I18" s="72"/>
      <c r="J18" s="72"/>
      <c r="K18" s="71" t="s">
        <v>1261</v>
      </c>
      <c r="L18" s="75"/>
      <c r="M18" s="76">
        <v>4059.87548828125</v>
      </c>
      <c r="N18" s="76">
        <v>2052.91748046875</v>
      </c>
      <c r="O18" s="77"/>
      <c r="P18" s="78"/>
      <c r="Q18" s="78"/>
      <c r="R18" s="82"/>
      <c r="S18" s="82"/>
      <c r="T18" s="82"/>
      <c r="U18" s="82"/>
      <c r="V18" s="52"/>
      <c r="W18" s="52"/>
      <c r="X18" s="52"/>
      <c r="Y18" s="52"/>
      <c r="Z18" s="51"/>
      <c r="AA18" s="73">
        <v>18</v>
      </c>
      <c r="AB18" s="73"/>
      <c r="AC18" s="74"/>
      <c r="AD18" s="80" t="s">
        <v>1261</v>
      </c>
      <c r="AE18" s="80" t="s">
        <v>2302</v>
      </c>
      <c r="AF18" s="80" t="s">
        <v>3190</v>
      </c>
      <c r="AG18" s="80" t="s">
        <v>3878</v>
      </c>
      <c r="AH18" s="80" t="s">
        <v>4571</v>
      </c>
      <c r="AI18" s="80">
        <v>1410</v>
      </c>
      <c r="AJ18" s="80">
        <v>1</v>
      </c>
      <c r="AK18" s="80">
        <v>12</v>
      </c>
      <c r="AL18" s="80">
        <v>0</v>
      </c>
      <c r="AM18" s="80" t="s">
        <v>5614</v>
      </c>
      <c r="AN18" s="102" t="str">
        <f>HYPERLINK("https://www.youtube.com/watch?v=uBW70d6034E")</f>
        <v>https://www.youtube.com/watch?v=uBW70d6034E</v>
      </c>
      <c r="AO18" s="2"/>
      <c r="AP18" s="3"/>
      <c r="AQ18" s="3"/>
      <c r="AR18" s="3"/>
      <c r="AS18" s="3"/>
    </row>
    <row r="19" spans="1:45" ht="15">
      <c r="A19" s="66" t="s">
        <v>240</v>
      </c>
      <c r="B19" s="67"/>
      <c r="C19" s="67"/>
      <c r="D19" s="68"/>
      <c r="E19" s="70"/>
      <c r="F19" s="100" t="str">
        <f>HYPERLINK("https://i.ytimg.com/vi/n1EKLSrMU0I/default.jpg")</f>
        <v>https://i.ytimg.com/vi/n1EKLSrMU0I/default.jpg</v>
      </c>
      <c r="G19" s="67"/>
      <c r="H19" s="71"/>
      <c r="I19" s="72"/>
      <c r="J19" s="72"/>
      <c r="K19" s="71" t="s">
        <v>1262</v>
      </c>
      <c r="L19" s="75"/>
      <c r="M19" s="76">
        <v>4537.9345703125</v>
      </c>
      <c r="N19" s="76">
        <v>1747.67626953125</v>
      </c>
      <c r="O19" s="77"/>
      <c r="P19" s="78"/>
      <c r="Q19" s="78"/>
      <c r="R19" s="82"/>
      <c r="S19" s="82"/>
      <c r="T19" s="82"/>
      <c r="U19" s="82"/>
      <c r="V19" s="52"/>
      <c r="W19" s="52"/>
      <c r="X19" s="52"/>
      <c r="Y19" s="52"/>
      <c r="Z19" s="51"/>
      <c r="AA19" s="73">
        <v>19</v>
      </c>
      <c r="AB19" s="73"/>
      <c r="AC19" s="74"/>
      <c r="AD19" s="80" t="s">
        <v>1262</v>
      </c>
      <c r="AE19" s="80" t="s">
        <v>2303</v>
      </c>
      <c r="AF19" s="80"/>
      <c r="AG19" s="80" t="s">
        <v>3879</v>
      </c>
      <c r="AH19" s="80" t="s">
        <v>4572</v>
      </c>
      <c r="AI19" s="80">
        <v>11952</v>
      </c>
      <c r="AJ19" s="80">
        <v>7</v>
      </c>
      <c r="AK19" s="80">
        <v>103</v>
      </c>
      <c r="AL19" s="80">
        <v>7</v>
      </c>
      <c r="AM19" s="80" t="s">
        <v>5614</v>
      </c>
      <c r="AN19" s="102" t="str">
        <f>HYPERLINK("https://www.youtube.com/watch?v=n1EKLSrMU0I")</f>
        <v>https://www.youtube.com/watch?v=n1EKLSrMU0I</v>
      </c>
      <c r="AO19" s="2"/>
      <c r="AP19" s="3"/>
      <c r="AQ19" s="3"/>
      <c r="AR19" s="3"/>
      <c r="AS19" s="3"/>
    </row>
    <row r="20" spans="1:45" ht="15">
      <c r="A20" s="66" t="s">
        <v>241</v>
      </c>
      <c r="B20" s="67"/>
      <c r="C20" s="67"/>
      <c r="D20" s="68"/>
      <c r="E20" s="70"/>
      <c r="F20" s="100" t="str">
        <f>HYPERLINK("https://i.ytimg.com/vi/CpOG3BzirOs/default.jpg")</f>
        <v>https://i.ytimg.com/vi/CpOG3BzirOs/default.jpg</v>
      </c>
      <c r="G20" s="67"/>
      <c r="H20" s="71"/>
      <c r="I20" s="72"/>
      <c r="J20" s="72"/>
      <c r="K20" s="71" t="s">
        <v>1263</v>
      </c>
      <c r="L20" s="75"/>
      <c r="M20" s="76">
        <v>4246.86767578125</v>
      </c>
      <c r="N20" s="76">
        <v>2038.8560791015625</v>
      </c>
      <c r="O20" s="77"/>
      <c r="P20" s="78"/>
      <c r="Q20" s="78"/>
      <c r="R20" s="82"/>
      <c r="S20" s="82"/>
      <c r="T20" s="82"/>
      <c r="U20" s="82"/>
      <c r="V20" s="52"/>
      <c r="W20" s="52"/>
      <c r="X20" s="52"/>
      <c r="Y20" s="52"/>
      <c r="Z20" s="51"/>
      <c r="AA20" s="73">
        <v>20</v>
      </c>
      <c r="AB20" s="73"/>
      <c r="AC20" s="74"/>
      <c r="AD20" s="80" t="s">
        <v>1263</v>
      </c>
      <c r="AE20" s="80" t="s">
        <v>2304</v>
      </c>
      <c r="AF20" s="80" t="s">
        <v>3191</v>
      </c>
      <c r="AG20" s="80" t="s">
        <v>3880</v>
      </c>
      <c r="AH20" s="80" t="s">
        <v>4573</v>
      </c>
      <c r="AI20" s="80">
        <v>9028</v>
      </c>
      <c r="AJ20" s="80">
        <v>5</v>
      </c>
      <c r="AK20" s="80">
        <v>92</v>
      </c>
      <c r="AL20" s="80">
        <v>8</v>
      </c>
      <c r="AM20" s="80" t="s">
        <v>5614</v>
      </c>
      <c r="AN20" s="102" t="str">
        <f>HYPERLINK("https://www.youtube.com/watch?v=CpOG3BzirOs")</f>
        <v>https://www.youtube.com/watch?v=CpOG3BzirOs</v>
      </c>
      <c r="AO20" s="2"/>
      <c r="AP20" s="3"/>
      <c r="AQ20" s="3"/>
      <c r="AR20" s="3"/>
      <c r="AS20" s="3"/>
    </row>
    <row r="21" spans="1:45" ht="15">
      <c r="A21" s="66" t="s">
        <v>242</v>
      </c>
      <c r="B21" s="67"/>
      <c r="C21" s="67"/>
      <c r="D21" s="68"/>
      <c r="E21" s="70"/>
      <c r="F21" s="100" t="str">
        <f>HYPERLINK("https://i.ytimg.com/vi/N2eBBXj0a-E/default.jpg")</f>
        <v>https://i.ytimg.com/vi/N2eBBXj0a-E/default.jpg</v>
      </c>
      <c r="G21" s="67"/>
      <c r="H21" s="71"/>
      <c r="I21" s="72"/>
      <c r="J21" s="72"/>
      <c r="K21" s="71" t="s">
        <v>1264</v>
      </c>
      <c r="L21" s="75"/>
      <c r="M21" s="76">
        <v>4535.64404296875</v>
      </c>
      <c r="N21" s="76">
        <v>1763.34130859375</v>
      </c>
      <c r="O21" s="77"/>
      <c r="P21" s="78"/>
      <c r="Q21" s="78"/>
      <c r="R21" s="82"/>
      <c r="S21" s="82"/>
      <c r="T21" s="82"/>
      <c r="U21" s="82"/>
      <c r="V21" s="52"/>
      <c r="W21" s="52"/>
      <c r="X21" s="52"/>
      <c r="Y21" s="52"/>
      <c r="Z21" s="51"/>
      <c r="AA21" s="73">
        <v>21</v>
      </c>
      <c r="AB21" s="73"/>
      <c r="AC21" s="74"/>
      <c r="AD21" s="80" t="s">
        <v>1264</v>
      </c>
      <c r="AE21" s="80"/>
      <c r="AF21" s="80" t="s">
        <v>3192</v>
      </c>
      <c r="AG21" s="80" t="s">
        <v>3881</v>
      </c>
      <c r="AH21" s="80" t="s">
        <v>4574</v>
      </c>
      <c r="AI21" s="80">
        <v>17446</v>
      </c>
      <c r="AJ21" s="80">
        <v>14</v>
      </c>
      <c r="AK21" s="80">
        <v>156</v>
      </c>
      <c r="AL21" s="80">
        <v>11</v>
      </c>
      <c r="AM21" s="80" t="s">
        <v>5614</v>
      </c>
      <c r="AN21" s="102" t="str">
        <f>HYPERLINK("https://www.youtube.com/watch?v=N2eBBXj0a-E")</f>
        <v>https://www.youtube.com/watch?v=N2eBBXj0a-E</v>
      </c>
      <c r="AO21" s="2"/>
      <c r="AP21" s="3"/>
      <c r="AQ21" s="3"/>
      <c r="AR21" s="3"/>
      <c r="AS21" s="3"/>
    </row>
    <row r="22" spans="1:45" ht="15">
      <c r="A22" s="66" t="s">
        <v>243</v>
      </c>
      <c r="B22" s="67"/>
      <c r="C22" s="67"/>
      <c r="D22" s="68"/>
      <c r="E22" s="70"/>
      <c r="F22" s="100" t="str">
        <f>HYPERLINK("https://i.ytimg.com/vi/Dj-3C8XoBGk/default.jpg")</f>
        <v>https://i.ytimg.com/vi/Dj-3C8XoBGk/default.jpg</v>
      </c>
      <c r="G22" s="67"/>
      <c r="H22" s="71"/>
      <c r="I22" s="72"/>
      <c r="J22" s="72"/>
      <c r="K22" s="71" t="s">
        <v>1265</v>
      </c>
      <c r="L22" s="75"/>
      <c r="M22" s="76">
        <v>4441.29052734375</v>
      </c>
      <c r="N22" s="76">
        <v>1801.533447265625</v>
      </c>
      <c r="O22" s="77"/>
      <c r="P22" s="78"/>
      <c r="Q22" s="78"/>
      <c r="R22" s="82"/>
      <c r="S22" s="82"/>
      <c r="T22" s="82"/>
      <c r="U22" s="82"/>
      <c r="V22" s="52"/>
      <c r="W22" s="52"/>
      <c r="X22" s="52"/>
      <c r="Y22" s="52"/>
      <c r="Z22" s="51"/>
      <c r="AA22" s="73">
        <v>22</v>
      </c>
      <c r="AB22" s="73"/>
      <c r="AC22" s="74"/>
      <c r="AD22" s="80" t="s">
        <v>1265</v>
      </c>
      <c r="AE22" s="80" t="s">
        <v>2305</v>
      </c>
      <c r="AF22" s="80" t="s">
        <v>3193</v>
      </c>
      <c r="AG22" s="80" t="s">
        <v>3882</v>
      </c>
      <c r="AH22" s="80" t="s">
        <v>4575</v>
      </c>
      <c r="AI22" s="80">
        <v>4645</v>
      </c>
      <c r="AJ22" s="80">
        <v>35</v>
      </c>
      <c r="AK22" s="80">
        <v>367</v>
      </c>
      <c r="AL22" s="80">
        <v>4</v>
      </c>
      <c r="AM22" s="80" t="s">
        <v>5614</v>
      </c>
      <c r="AN22" s="102" t="str">
        <f>HYPERLINK("https://www.youtube.com/watch?v=Dj-3C8XoBGk")</f>
        <v>https://www.youtube.com/watch?v=Dj-3C8XoBGk</v>
      </c>
      <c r="AO22" s="2"/>
      <c r="AP22" s="3"/>
      <c r="AQ22" s="3"/>
      <c r="AR22" s="3"/>
      <c r="AS22" s="3"/>
    </row>
    <row r="23" spans="1:45" ht="15">
      <c r="A23" s="66" t="s">
        <v>244</v>
      </c>
      <c r="B23" s="67"/>
      <c r="C23" s="67"/>
      <c r="D23" s="68"/>
      <c r="E23" s="70"/>
      <c r="F23" s="100" t="str">
        <f>HYPERLINK("https://i.ytimg.com/vi/wb9kFE6iksQ/default.jpg")</f>
        <v>https://i.ytimg.com/vi/wb9kFE6iksQ/default.jpg</v>
      </c>
      <c r="G23" s="67"/>
      <c r="H23" s="71"/>
      <c r="I23" s="72"/>
      <c r="J23" s="72"/>
      <c r="K23" s="71" t="s">
        <v>1266</v>
      </c>
      <c r="L23" s="75"/>
      <c r="M23" s="76">
        <v>4299.5791015625</v>
      </c>
      <c r="N23" s="76">
        <v>1843.8919677734375</v>
      </c>
      <c r="O23" s="77"/>
      <c r="P23" s="78"/>
      <c r="Q23" s="78"/>
      <c r="R23" s="82"/>
      <c r="S23" s="82"/>
      <c r="T23" s="82"/>
      <c r="U23" s="82"/>
      <c r="V23" s="52"/>
      <c r="W23" s="52"/>
      <c r="X23" s="52"/>
      <c r="Y23" s="52"/>
      <c r="Z23" s="51"/>
      <c r="AA23" s="73">
        <v>23</v>
      </c>
      <c r="AB23" s="73"/>
      <c r="AC23" s="74"/>
      <c r="AD23" s="80" t="s">
        <v>1266</v>
      </c>
      <c r="AE23" s="80" t="s">
        <v>2306</v>
      </c>
      <c r="AF23" s="80" t="s">
        <v>3194</v>
      </c>
      <c r="AG23" s="80" t="s">
        <v>3883</v>
      </c>
      <c r="AH23" s="80" t="s">
        <v>4576</v>
      </c>
      <c r="AI23" s="80">
        <v>5890</v>
      </c>
      <c r="AJ23" s="80">
        <v>4</v>
      </c>
      <c r="AK23" s="80">
        <v>52</v>
      </c>
      <c r="AL23" s="80">
        <v>1</v>
      </c>
      <c r="AM23" s="80" t="s">
        <v>5614</v>
      </c>
      <c r="AN23" s="102" t="str">
        <f>HYPERLINK("https://www.youtube.com/watch?v=wb9kFE6iksQ")</f>
        <v>https://www.youtube.com/watch?v=wb9kFE6iksQ</v>
      </c>
      <c r="AO23" s="2"/>
      <c r="AP23" s="3"/>
      <c r="AQ23" s="3"/>
      <c r="AR23" s="3"/>
      <c r="AS23" s="3"/>
    </row>
    <row r="24" spans="1:45" ht="15">
      <c r="A24" s="66" t="s">
        <v>245</v>
      </c>
      <c r="B24" s="67"/>
      <c r="C24" s="67"/>
      <c r="D24" s="68"/>
      <c r="E24" s="70"/>
      <c r="F24" s="100" t="str">
        <f>HYPERLINK("https://i.ytimg.com/vi/yYiCFvwIAFg/default.jpg")</f>
        <v>https://i.ytimg.com/vi/yYiCFvwIAFg/default.jpg</v>
      </c>
      <c r="G24" s="67"/>
      <c r="H24" s="71"/>
      <c r="I24" s="72"/>
      <c r="J24" s="72"/>
      <c r="K24" s="71" t="s">
        <v>1267</v>
      </c>
      <c r="L24" s="75"/>
      <c r="M24" s="76">
        <v>4785.236328125</v>
      </c>
      <c r="N24" s="76">
        <v>1600.03173828125</v>
      </c>
      <c r="O24" s="77"/>
      <c r="P24" s="78"/>
      <c r="Q24" s="78"/>
      <c r="R24" s="82"/>
      <c r="S24" s="82"/>
      <c r="T24" s="82"/>
      <c r="U24" s="82"/>
      <c r="V24" s="52"/>
      <c r="W24" s="52"/>
      <c r="X24" s="52"/>
      <c r="Y24" s="52"/>
      <c r="Z24" s="51"/>
      <c r="AA24" s="73">
        <v>24</v>
      </c>
      <c r="AB24" s="73"/>
      <c r="AC24" s="74"/>
      <c r="AD24" s="80" t="s">
        <v>1267</v>
      </c>
      <c r="AE24" s="80" t="s">
        <v>2307</v>
      </c>
      <c r="AF24" s="80" t="s">
        <v>3195</v>
      </c>
      <c r="AG24" s="80" t="s">
        <v>3884</v>
      </c>
      <c r="AH24" s="80" t="s">
        <v>4577</v>
      </c>
      <c r="AI24" s="80">
        <v>65875</v>
      </c>
      <c r="AJ24" s="80">
        <v>22</v>
      </c>
      <c r="AK24" s="80">
        <v>778</v>
      </c>
      <c r="AL24" s="80">
        <v>27</v>
      </c>
      <c r="AM24" s="80" t="s">
        <v>5614</v>
      </c>
      <c r="AN24" s="102" t="str">
        <f>HYPERLINK("https://www.youtube.com/watch?v=yYiCFvwIAFg")</f>
        <v>https://www.youtube.com/watch?v=yYiCFvwIAFg</v>
      </c>
      <c r="AO24" s="2"/>
      <c r="AP24" s="3"/>
      <c r="AQ24" s="3"/>
      <c r="AR24" s="3"/>
      <c r="AS24" s="3"/>
    </row>
    <row r="25" spans="1:45" ht="15">
      <c r="A25" s="66" t="s">
        <v>246</v>
      </c>
      <c r="B25" s="67"/>
      <c r="C25" s="67"/>
      <c r="D25" s="68"/>
      <c r="E25" s="70"/>
      <c r="F25" s="100" t="str">
        <f>HYPERLINK("https://i.ytimg.com/vi/l0dMcL7pJto/default.jpg")</f>
        <v>https://i.ytimg.com/vi/l0dMcL7pJto/default.jpg</v>
      </c>
      <c r="G25" s="67"/>
      <c r="H25" s="71"/>
      <c r="I25" s="72"/>
      <c r="J25" s="72"/>
      <c r="K25" s="71" t="s">
        <v>1268</v>
      </c>
      <c r="L25" s="75"/>
      <c r="M25" s="76">
        <v>4365.9658203125</v>
      </c>
      <c r="N25" s="76">
        <v>1872.4671630859375</v>
      </c>
      <c r="O25" s="77"/>
      <c r="P25" s="78"/>
      <c r="Q25" s="78"/>
      <c r="R25" s="82"/>
      <c r="S25" s="82"/>
      <c r="T25" s="82"/>
      <c r="U25" s="82"/>
      <c r="V25" s="52"/>
      <c r="W25" s="52"/>
      <c r="X25" s="52"/>
      <c r="Y25" s="52"/>
      <c r="Z25" s="51"/>
      <c r="AA25" s="73">
        <v>25</v>
      </c>
      <c r="AB25" s="73"/>
      <c r="AC25" s="74"/>
      <c r="AD25" s="80" t="s">
        <v>1268</v>
      </c>
      <c r="AE25" s="80" t="s">
        <v>2308</v>
      </c>
      <c r="AF25" s="80" t="s">
        <v>3196</v>
      </c>
      <c r="AG25" s="80" t="s">
        <v>3885</v>
      </c>
      <c r="AH25" s="80" t="s">
        <v>4578</v>
      </c>
      <c r="AI25" s="80">
        <v>11051</v>
      </c>
      <c r="AJ25" s="80">
        <v>21</v>
      </c>
      <c r="AK25" s="80">
        <v>386</v>
      </c>
      <c r="AL25" s="80">
        <v>16</v>
      </c>
      <c r="AM25" s="80" t="s">
        <v>5614</v>
      </c>
      <c r="AN25" s="102" t="str">
        <f>HYPERLINK("https://www.youtube.com/watch?v=l0dMcL7pJto")</f>
        <v>https://www.youtube.com/watch?v=l0dMcL7pJto</v>
      </c>
      <c r="AO25" s="2"/>
      <c r="AP25" s="3"/>
      <c r="AQ25" s="3"/>
      <c r="AR25" s="3"/>
      <c r="AS25" s="3"/>
    </row>
    <row r="26" spans="1:45" ht="15">
      <c r="A26" s="66" t="s">
        <v>247</v>
      </c>
      <c r="B26" s="67"/>
      <c r="C26" s="67"/>
      <c r="D26" s="68"/>
      <c r="E26" s="70"/>
      <c r="F26" s="100" t="str">
        <f>HYPERLINK("https://i.ytimg.com/vi/10lGa2f8-BU/default.jpg")</f>
        <v>https://i.ytimg.com/vi/10lGa2f8-BU/default.jpg</v>
      </c>
      <c r="G26" s="67"/>
      <c r="H26" s="71"/>
      <c r="I26" s="72"/>
      <c r="J26" s="72"/>
      <c r="K26" s="71" t="s">
        <v>1269</v>
      </c>
      <c r="L26" s="75"/>
      <c r="M26" s="76">
        <v>4761.94091796875</v>
      </c>
      <c r="N26" s="76">
        <v>1655.1224365234375</v>
      </c>
      <c r="O26" s="77"/>
      <c r="P26" s="78"/>
      <c r="Q26" s="78"/>
      <c r="R26" s="82"/>
      <c r="S26" s="82"/>
      <c r="T26" s="82"/>
      <c r="U26" s="82"/>
      <c r="V26" s="52"/>
      <c r="W26" s="52"/>
      <c r="X26" s="52"/>
      <c r="Y26" s="52"/>
      <c r="Z26" s="51"/>
      <c r="AA26" s="73">
        <v>26</v>
      </c>
      <c r="AB26" s="73"/>
      <c r="AC26" s="74"/>
      <c r="AD26" s="80" t="s">
        <v>1269</v>
      </c>
      <c r="AE26" s="80"/>
      <c r="AF26" s="80" t="s">
        <v>3197</v>
      </c>
      <c r="AG26" s="80" t="s">
        <v>3886</v>
      </c>
      <c r="AH26" s="80" t="s">
        <v>4579</v>
      </c>
      <c r="AI26" s="80">
        <v>1594</v>
      </c>
      <c r="AJ26" s="80">
        <v>0</v>
      </c>
      <c r="AK26" s="80">
        <v>8</v>
      </c>
      <c r="AL26" s="80">
        <v>0</v>
      </c>
      <c r="AM26" s="80" t="s">
        <v>5614</v>
      </c>
      <c r="AN26" s="102" t="str">
        <f>HYPERLINK("https://www.youtube.com/watch?v=10lGa2f8-BU")</f>
        <v>https://www.youtube.com/watch?v=10lGa2f8-BU</v>
      </c>
      <c r="AO26" s="2"/>
      <c r="AP26" s="3"/>
      <c r="AQ26" s="3"/>
      <c r="AR26" s="3"/>
      <c r="AS26" s="3"/>
    </row>
    <row r="27" spans="1:45" ht="15">
      <c r="A27" s="66" t="s">
        <v>248</v>
      </c>
      <c r="B27" s="67"/>
      <c r="C27" s="67"/>
      <c r="D27" s="68"/>
      <c r="E27" s="70"/>
      <c r="F27" s="100" t="str">
        <f>HYPERLINK("https://i.ytimg.com/vi/p81ZI76psl8/default.jpg")</f>
        <v>https://i.ytimg.com/vi/p81ZI76psl8/default.jpg</v>
      </c>
      <c r="G27" s="67"/>
      <c r="H27" s="71"/>
      <c r="I27" s="72"/>
      <c r="J27" s="72"/>
      <c r="K27" s="71" t="s">
        <v>1270</v>
      </c>
      <c r="L27" s="75"/>
      <c r="M27" s="76">
        <v>4398.3076171875</v>
      </c>
      <c r="N27" s="76">
        <v>1742.8438720703125</v>
      </c>
      <c r="O27" s="77"/>
      <c r="P27" s="78"/>
      <c r="Q27" s="78"/>
      <c r="R27" s="82"/>
      <c r="S27" s="82"/>
      <c r="T27" s="82"/>
      <c r="U27" s="82"/>
      <c r="V27" s="52"/>
      <c r="W27" s="52"/>
      <c r="X27" s="52"/>
      <c r="Y27" s="52"/>
      <c r="Z27" s="51"/>
      <c r="AA27" s="73">
        <v>27</v>
      </c>
      <c r="AB27" s="73"/>
      <c r="AC27" s="74"/>
      <c r="AD27" s="80" t="s">
        <v>1270</v>
      </c>
      <c r="AE27" s="80" t="s">
        <v>2309</v>
      </c>
      <c r="AF27" s="80" t="s">
        <v>3198</v>
      </c>
      <c r="AG27" s="80" t="s">
        <v>3887</v>
      </c>
      <c r="AH27" s="80" t="s">
        <v>4580</v>
      </c>
      <c r="AI27" s="80">
        <v>10407</v>
      </c>
      <c r="AJ27" s="80">
        <v>0</v>
      </c>
      <c r="AK27" s="80">
        <v>87</v>
      </c>
      <c r="AL27" s="80">
        <v>3</v>
      </c>
      <c r="AM27" s="80" t="s">
        <v>5614</v>
      </c>
      <c r="AN27" s="102" t="str">
        <f>HYPERLINK("https://www.youtube.com/watch?v=p81ZI76psl8")</f>
        <v>https://www.youtube.com/watch?v=p81ZI76psl8</v>
      </c>
      <c r="AO27" s="2"/>
      <c r="AP27" s="3"/>
      <c r="AQ27" s="3"/>
      <c r="AR27" s="3"/>
      <c r="AS27" s="3"/>
    </row>
    <row r="28" spans="1:45" ht="15">
      <c r="A28" s="66" t="s">
        <v>249</v>
      </c>
      <c r="B28" s="67"/>
      <c r="C28" s="67"/>
      <c r="D28" s="68"/>
      <c r="E28" s="70"/>
      <c r="F28" s="100" t="str">
        <f>HYPERLINK("https://i.ytimg.com/vi/TyeyiuwNoRI/default.jpg")</f>
        <v>https://i.ytimg.com/vi/TyeyiuwNoRI/default.jpg</v>
      </c>
      <c r="G28" s="67"/>
      <c r="H28" s="71"/>
      <c r="I28" s="72"/>
      <c r="J28" s="72"/>
      <c r="K28" s="71" t="s">
        <v>1271</v>
      </c>
      <c r="L28" s="75"/>
      <c r="M28" s="76">
        <v>4110.01904296875</v>
      </c>
      <c r="N28" s="76">
        <v>1971.06982421875</v>
      </c>
      <c r="O28" s="77"/>
      <c r="P28" s="78"/>
      <c r="Q28" s="78"/>
      <c r="R28" s="82"/>
      <c r="S28" s="82"/>
      <c r="T28" s="82"/>
      <c r="U28" s="82"/>
      <c r="V28" s="52"/>
      <c r="W28" s="52"/>
      <c r="X28" s="52"/>
      <c r="Y28" s="52"/>
      <c r="Z28" s="51"/>
      <c r="AA28" s="73">
        <v>28</v>
      </c>
      <c r="AB28" s="73"/>
      <c r="AC28" s="74"/>
      <c r="AD28" s="80" t="s">
        <v>1271</v>
      </c>
      <c r="AE28" s="80" t="s">
        <v>2310</v>
      </c>
      <c r="AF28" s="80" t="s">
        <v>3199</v>
      </c>
      <c r="AG28" s="80" t="s">
        <v>3888</v>
      </c>
      <c r="AH28" s="80" t="s">
        <v>4581</v>
      </c>
      <c r="AI28" s="80">
        <v>14999</v>
      </c>
      <c r="AJ28" s="80">
        <v>2</v>
      </c>
      <c r="AK28" s="80">
        <v>66</v>
      </c>
      <c r="AL28" s="80">
        <v>4</v>
      </c>
      <c r="AM28" s="80" t="s">
        <v>5614</v>
      </c>
      <c r="AN28" s="102" t="str">
        <f>HYPERLINK("https://www.youtube.com/watch?v=TyeyiuwNoRI")</f>
        <v>https://www.youtube.com/watch?v=TyeyiuwNoRI</v>
      </c>
      <c r="AO28" s="2"/>
      <c r="AP28" s="3"/>
      <c r="AQ28" s="3"/>
      <c r="AR28" s="3"/>
      <c r="AS28" s="3"/>
    </row>
    <row r="29" spans="1:45" ht="15">
      <c r="A29" s="66" t="s">
        <v>250</v>
      </c>
      <c r="B29" s="67"/>
      <c r="C29" s="67"/>
      <c r="D29" s="68"/>
      <c r="E29" s="70"/>
      <c r="F29" s="100" t="str">
        <f>HYPERLINK("https://i.ytimg.com/vi/rjh57ByICNs/default.jpg")</f>
        <v>https://i.ytimg.com/vi/rjh57ByICNs/default.jpg</v>
      </c>
      <c r="G29" s="67"/>
      <c r="H29" s="71"/>
      <c r="I29" s="72"/>
      <c r="J29" s="72"/>
      <c r="K29" s="71" t="s">
        <v>1272</v>
      </c>
      <c r="L29" s="75"/>
      <c r="M29" s="76">
        <v>4957.2294921875</v>
      </c>
      <c r="N29" s="76">
        <v>1663.98681640625</v>
      </c>
      <c r="O29" s="77"/>
      <c r="P29" s="78"/>
      <c r="Q29" s="78"/>
      <c r="R29" s="82"/>
      <c r="S29" s="82"/>
      <c r="T29" s="82"/>
      <c r="U29" s="82"/>
      <c r="V29" s="52"/>
      <c r="W29" s="52"/>
      <c r="X29" s="52"/>
      <c r="Y29" s="52"/>
      <c r="Z29" s="51"/>
      <c r="AA29" s="73">
        <v>29</v>
      </c>
      <c r="AB29" s="73"/>
      <c r="AC29" s="74"/>
      <c r="AD29" s="80" t="s">
        <v>1272</v>
      </c>
      <c r="AE29" s="80" t="s">
        <v>2311</v>
      </c>
      <c r="AF29" s="80" t="s">
        <v>3200</v>
      </c>
      <c r="AG29" s="80" t="s">
        <v>3889</v>
      </c>
      <c r="AH29" s="80" t="s">
        <v>4582</v>
      </c>
      <c r="AI29" s="80">
        <v>8132</v>
      </c>
      <c r="AJ29" s="80">
        <v>1</v>
      </c>
      <c r="AK29" s="80">
        <v>66</v>
      </c>
      <c r="AL29" s="80">
        <v>5</v>
      </c>
      <c r="AM29" s="80" t="s">
        <v>5614</v>
      </c>
      <c r="AN29" s="102" t="str">
        <f>HYPERLINK("https://www.youtube.com/watch?v=rjh57ByICNs")</f>
        <v>https://www.youtube.com/watch?v=rjh57ByICNs</v>
      </c>
      <c r="AO29" s="2"/>
      <c r="AP29" s="3"/>
      <c r="AQ29" s="3"/>
      <c r="AR29" s="3"/>
      <c r="AS29" s="3"/>
    </row>
    <row r="30" spans="1:45" ht="15">
      <c r="A30" s="66" t="s">
        <v>251</v>
      </c>
      <c r="B30" s="67"/>
      <c r="C30" s="67"/>
      <c r="D30" s="68"/>
      <c r="E30" s="70"/>
      <c r="F30" s="100" t="str">
        <f>HYPERLINK("https://i.ytimg.com/vi/qPppRApS2YI/default.jpg")</f>
        <v>https://i.ytimg.com/vi/qPppRApS2YI/default.jpg</v>
      </c>
      <c r="G30" s="67"/>
      <c r="H30" s="71"/>
      <c r="I30" s="72"/>
      <c r="J30" s="72"/>
      <c r="K30" s="71" t="s">
        <v>1273</v>
      </c>
      <c r="L30" s="75"/>
      <c r="M30" s="76">
        <v>4236.73388671875</v>
      </c>
      <c r="N30" s="76">
        <v>1875.915283203125</v>
      </c>
      <c r="O30" s="77"/>
      <c r="P30" s="78"/>
      <c r="Q30" s="78"/>
      <c r="R30" s="82"/>
      <c r="S30" s="82"/>
      <c r="T30" s="82"/>
      <c r="U30" s="82"/>
      <c r="V30" s="52"/>
      <c r="W30" s="52"/>
      <c r="X30" s="52"/>
      <c r="Y30" s="52"/>
      <c r="Z30" s="51"/>
      <c r="AA30" s="73">
        <v>30</v>
      </c>
      <c r="AB30" s="73"/>
      <c r="AC30" s="74"/>
      <c r="AD30" s="80" t="s">
        <v>1273</v>
      </c>
      <c r="AE30" s="80"/>
      <c r="AF30" s="80" t="s">
        <v>3201</v>
      </c>
      <c r="AG30" s="80" t="s">
        <v>3890</v>
      </c>
      <c r="AH30" s="80" t="s">
        <v>4583</v>
      </c>
      <c r="AI30" s="80">
        <v>12855</v>
      </c>
      <c r="AJ30" s="80">
        <v>0</v>
      </c>
      <c r="AK30" s="80">
        <v>116</v>
      </c>
      <c r="AL30" s="80">
        <v>7</v>
      </c>
      <c r="AM30" s="80" t="s">
        <v>5614</v>
      </c>
      <c r="AN30" s="102" t="str">
        <f>HYPERLINK("https://www.youtube.com/watch?v=qPppRApS2YI")</f>
        <v>https://www.youtube.com/watch?v=qPppRApS2YI</v>
      </c>
      <c r="AO30" s="2"/>
      <c r="AP30" s="3"/>
      <c r="AQ30" s="3"/>
      <c r="AR30" s="3"/>
      <c r="AS30" s="3"/>
    </row>
    <row r="31" spans="1:45" ht="15">
      <c r="A31" s="66" t="s">
        <v>252</v>
      </c>
      <c r="B31" s="67"/>
      <c r="C31" s="67"/>
      <c r="D31" s="68"/>
      <c r="E31" s="70"/>
      <c r="F31" s="100" t="str">
        <f>HYPERLINK("https://i.ytimg.com/vi/NQFMArcQI5o/default.jpg")</f>
        <v>https://i.ytimg.com/vi/NQFMArcQI5o/default.jpg</v>
      </c>
      <c r="G31" s="67"/>
      <c r="H31" s="71"/>
      <c r="I31" s="72"/>
      <c r="J31" s="72"/>
      <c r="K31" s="71" t="s">
        <v>1274</v>
      </c>
      <c r="L31" s="75"/>
      <c r="M31" s="76">
        <v>4437.19140625</v>
      </c>
      <c r="N31" s="76">
        <v>1671.57470703125</v>
      </c>
      <c r="O31" s="77"/>
      <c r="P31" s="78"/>
      <c r="Q31" s="78"/>
      <c r="R31" s="82"/>
      <c r="S31" s="82"/>
      <c r="T31" s="82"/>
      <c r="U31" s="82"/>
      <c r="V31" s="52"/>
      <c r="W31" s="52"/>
      <c r="X31" s="52"/>
      <c r="Y31" s="52"/>
      <c r="Z31" s="51"/>
      <c r="AA31" s="73">
        <v>31</v>
      </c>
      <c r="AB31" s="73"/>
      <c r="AC31" s="74"/>
      <c r="AD31" s="80" t="s">
        <v>1274</v>
      </c>
      <c r="AE31" s="80" t="s">
        <v>2312</v>
      </c>
      <c r="AF31" s="80" t="s">
        <v>3202</v>
      </c>
      <c r="AG31" s="80" t="s">
        <v>3891</v>
      </c>
      <c r="AH31" s="80" t="s">
        <v>4584</v>
      </c>
      <c r="AI31" s="80">
        <v>85397</v>
      </c>
      <c r="AJ31" s="80">
        <v>21</v>
      </c>
      <c r="AK31" s="80">
        <v>612</v>
      </c>
      <c r="AL31" s="80">
        <v>21</v>
      </c>
      <c r="AM31" s="80" t="s">
        <v>5614</v>
      </c>
      <c r="AN31" s="102" t="str">
        <f>HYPERLINK("https://www.youtube.com/watch?v=NQFMArcQI5o")</f>
        <v>https://www.youtube.com/watch?v=NQFMArcQI5o</v>
      </c>
      <c r="AO31" s="2"/>
      <c r="AP31" s="3"/>
      <c r="AQ31" s="3"/>
      <c r="AR31" s="3"/>
      <c r="AS31" s="3"/>
    </row>
    <row r="32" spans="1:45" ht="15">
      <c r="A32" s="66" t="s">
        <v>253</v>
      </c>
      <c r="B32" s="67"/>
      <c r="C32" s="67"/>
      <c r="D32" s="68"/>
      <c r="E32" s="70"/>
      <c r="F32" s="100" t="str">
        <f>HYPERLINK("https://i.ytimg.com/vi/dLlYBGrn7Gs/default.jpg")</f>
        <v>https://i.ytimg.com/vi/dLlYBGrn7Gs/default.jpg</v>
      </c>
      <c r="G32" s="67"/>
      <c r="H32" s="71"/>
      <c r="I32" s="72"/>
      <c r="J32" s="72"/>
      <c r="K32" s="71" t="s">
        <v>1275</v>
      </c>
      <c r="L32" s="75"/>
      <c r="M32" s="76">
        <v>4095.980224609375</v>
      </c>
      <c r="N32" s="76">
        <v>1963.5928955078125</v>
      </c>
      <c r="O32" s="77"/>
      <c r="P32" s="78"/>
      <c r="Q32" s="78"/>
      <c r="R32" s="82"/>
      <c r="S32" s="82"/>
      <c r="T32" s="82"/>
      <c r="U32" s="82"/>
      <c r="V32" s="52"/>
      <c r="W32" s="52"/>
      <c r="X32" s="52"/>
      <c r="Y32" s="52"/>
      <c r="Z32" s="51"/>
      <c r="AA32" s="73">
        <v>32</v>
      </c>
      <c r="AB32" s="73"/>
      <c r="AC32" s="74"/>
      <c r="AD32" s="80" t="s">
        <v>1275</v>
      </c>
      <c r="AE32" s="80" t="s">
        <v>2313</v>
      </c>
      <c r="AF32" s="80" t="s">
        <v>3203</v>
      </c>
      <c r="AG32" s="80" t="s">
        <v>3892</v>
      </c>
      <c r="AH32" s="80" t="s">
        <v>4585</v>
      </c>
      <c r="AI32" s="80">
        <v>39901</v>
      </c>
      <c r="AJ32" s="80">
        <v>14</v>
      </c>
      <c r="AK32" s="80">
        <v>386</v>
      </c>
      <c r="AL32" s="80">
        <v>28</v>
      </c>
      <c r="AM32" s="80" t="s">
        <v>5614</v>
      </c>
      <c r="AN32" s="102" t="str">
        <f>HYPERLINK("https://www.youtube.com/watch?v=dLlYBGrn7Gs")</f>
        <v>https://www.youtube.com/watch?v=dLlYBGrn7Gs</v>
      </c>
      <c r="AO32" s="2"/>
      <c r="AP32" s="3"/>
      <c r="AQ32" s="3"/>
      <c r="AR32" s="3"/>
      <c r="AS32" s="3"/>
    </row>
    <row r="33" spans="1:45" ht="15">
      <c r="A33" s="66" t="s">
        <v>254</v>
      </c>
      <c r="B33" s="67"/>
      <c r="C33" s="67"/>
      <c r="D33" s="68"/>
      <c r="E33" s="70"/>
      <c r="F33" s="100" t="str">
        <f>HYPERLINK("https://i.ytimg.com/vi/RlJzZA5HNbk/default.jpg")</f>
        <v>https://i.ytimg.com/vi/RlJzZA5HNbk/default.jpg</v>
      </c>
      <c r="G33" s="67"/>
      <c r="H33" s="71"/>
      <c r="I33" s="72"/>
      <c r="J33" s="72"/>
      <c r="K33" s="71" t="s">
        <v>1276</v>
      </c>
      <c r="L33" s="75"/>
      <c r="M33" s="76">
        <v>4010.972412109375</v>
      </c>
      <c r="N33" s="76">
        <v>2128.386474609375</v>
      </c>
      <c r="O33" s="77"/>
      <c r="P33" s="78"/>
      <c r="Q33" s="78"/>
      <c r="R33" s="82"/>
      <c r="S33" s="82"/>
      <c r="T33" s="82"/>
      <c r="U33" s="82"/>
      <c r="V33" s="52"/>
      <c r="W33" s="52"/>
      <c r="X33" s="52"/>
      <c r="Y33" s="52"/>
      <c r="Z33" s="51"/>
      <c r="AA33" s="73">
        <v>33</v>
      </c>
      <c r="AB33" s="73"/>
      <c r="AC33" s="74"/>
      <c r="AD33" s="80" t="s">
        <v>1276</v>
      </c>
      <c r="AE33" s="80" t="s">
        <v>2314</v>
      </c>
      <c r="AF33" s="80" t="s">
        <v>3204</v>
      </c>
      <c r="AG33" s="80" t="s">
        <v>3893</v>
      </c>
      <c r="AH33" s="80" t="s">
        <v>4586</v>
      </c>
      <c r="AI33" s="80">
        <v>8890</v>
      </c>
      <c r="AJ33" s="80">
        <v>8</v>
      </c>
      <c r="AK33" s="80">
        <v>183</v>
      </c>
      <c r="AL33" s="80">
        <v>3</v>
      </c>
      <c r="AM33" s="80" t="s">
        <v>5614</v>
      </c>
      <c r="AN33" s="102" t="str">
        <f>HYPERLINK("https://www.youtube.com/watch?v=RlJzZA5HNbk")</f>
        <v>https://www.youtube.com/watch?v=RlJzZA5HNbk</v>
      </c>
      <c r="AO33" s="2"/>
      <c r="AP33" s="3"/>
      <c r="AQ33" s="3"/>
      <c r="AR33" s="3"/>
      <c r="AS33" s="3"/>
    </row>
    <row r="34" spans="1:45" ht="15">
      <c r="A34" s="66" t="s">
        <v>255</v>
      </c>
      <c r="B34" s="67"/>
      <c r="C34" s="67"/>
      <c r="D34" s="68"/>
      <c r="E34" s="70"/>
      <c r="F34" s="100" t="str">
        <f>HYPERLINK("https://i.ytimg.com/vi/PjZHL3QKpxU/default.jpg")</f>
        <v>https://i.ytimg.com/vi/PjZHL3QKpxU/default.jpg</v>
      </c>
      <c r="G34" s="67"/>
      <c r="H34" s="71"/>
      <c r="I34" s="72"/>
      <c r="J34" s="72"/>
      <c r="K34" s="71" t="s">
        <v>1277</v>
      </c>
      <c r="L34" s="75"/>
      <c r="M34" s="76">
        <v>4781.64453125</v>
      </c>
      <c r="N34" s="76">
        <v>1575.014892578125</v>
      </c>
      <c r="O34" s="77"/>
      <c r="P34" s="78"/>
      <c r="Q34" s="78"/>
      <c r="R34" s="82"/>
      <c r="S34" s="82"/>
      <c r="T34" s="82"/>
      <c r="U34" s="82"/>
      <c r="V34" s="52"/>
      <c r="W34" s="52"/>
      <c r="X34" s="52"/>
      <c r="Y34" s="52"/>
      <c r="Z34" s="51"/>
      <c r="AA34" s="73">
        <v>34</v>
      </c>
      <c r="AB34" s="73"/>
      <c r="AC34" s="74"/>
      <c r="AD34" s="80" t="s">
        <v>1277</v>
      </c>
      <c r="AE34" s="80" t="s">
        <v>2315</v>
      </c>
      <c r="AF34" s="80"/>
      <c r="AG34" s="80" t="s">
        <v>3887</v>
      </c>
      <c r="AH34" s="80" t="s">
        <v>4587</v>
      </c>
      <c r="AI34" s="80">
        <v>14629</v>
      </c>
      <c r="AJ34" s="80">
        <v>0</v>
      </c>
      <c r="AK34" s="80">
        <v>115</v>
      </c>
      <c r="AL34" s="80">
        <v>5</v>
      </c>
      <c r="AM34" s="80" t="s">
        <v>5614</v>
      </c>
      <c r="AN34" s="102" t="str">
        <f>HYPERLINK("https://www.youtube.com/watch?v=PjZHL3QKpxU")</f>
        <v>https://www.youtube.com/watch?v=PjZHL3QKpxU</v>
      </c>
      <c r="AO34" s="2"/>
      <c r="AP34" s="3"/>
      <c r="AQ34" s="3"/>
      <c r="AR34" s="3"/>
      <c r="AS34" s="3"/>
    </row>
    <row r="35" spans="1:45" ht="15">
      <c r="A35" s="66" t="s">
        <v>256</v>
      </c>
      <c r="B35" s="67"/>
      <c r="C35" s="67"/>
      <c r="D35" s="68"/>
      <c r="E35" s="70"/>
      <c r="F35" s="100" t="str">
        <f>HYPERLINK("https://i.ytimg.com/vi/cAKe04bD8GM/default.jpg")</f>
        <v>https://i.ytimg.com/vi/cAKe04bD8GM/default.jpg</v>
      </c>
      <c r="G35" s="67"/>
      <c r="H35" s="71"/>
      <c r="I35" s="72"/>
      <c r="J35" s="72"/>
      <c r="K35" s="71" t="s">
        <v>1278</v>
      </c>
      <c r="L35" s="75"/>
      <c r="M35" s="76">
        <v>4215.765625</v>
      </c>
      <c r="N35" s="76">
        <v>2010.777587890625</v>
      </c>
      <c r="O35" s="77"/>
      <c r="P35" s="78"/>
      <c r="Q35" s="78"/>
      <c r="R35" s="82"/>
      <c r="S35" s="82"/>
      <c r="T35" s="82"/>
      <c r="U35" s="82"/>
      <c r="V35" s="52"/>
      <c r="W35" s="52"/>
      <c r="X35" s="52"/>
      <c r="Y35" s="52"/>
      <c r="Z35" s="51"/>
      <c r="AA35" s="73">
        <v>35</v>
      </c>
      <c r="AB35" s="73"/>
      <c r="AC35" s="74"/>
      <c r="AD35" s="80" t="s">
        <v>1278</v>
      </c>
      <c r="AE35" s="80" t="s">
        <v>2316</v>
      </c>
      <c r="AF35" s="80" t="s">
        <v>3205</v>
      </c>
      <c r="AG35" s="80" t="s">
        <v>3894</v>
      </c>
      <c r="AH35" s="80" t="s">
        <v>4588</v>
      </c>
      <c r="AI35" s="80">
        <v>7342</v>
      </c>
      <c r="AJ35" s="80">
        <v>3</v>
      </c>
      <c r="AK35" s="80">
        <v>0</v>
      </c>
      <c r="AL35" s="80">
        <v>0</v>
      </c>
      <c r="AM35" s="80" t="s">
        <v>5614</v>
      </c>
      <c r="AN35" s="102" t="str">
        <f>HYPERLINK("https://www.youtube.com/watch?v=cAKe04bD8GM")</f>
        <v>https://www.youtube.com/watch?v=cAKe04bD8GM</v>
      </c>
      <c r="AO35" s="2"/>
      <c r="AP35" s="3"/>
      <c r="AQ35" s="3"/>
      <c r="AR35" s="3"/>
      <c r="AS35" s="3"/>
    </row>
    <row r="36" spans="1:45" ht="15">
      <c r="A36" s="66" t="s">
        <v>257</v>
      </c>
      <c r="B36" s="67"/>
      <c r="C36" s="67"/>
      <c r="D36" s="68"/>
      <c r="E36" s="70"/>
      <c r="F36" s="100" t="str">
        <f>HYPERLINK("https://i.ytimg.com/vi/pquMSXnWaUw/default.jpg")</f>
        <v>https://i.ytimg.com/vi/pquMSXnWaUw/default.jpg</v>
      </c>
      <c r="G36" s="67"/>
      <c r="H36" s="71"/>
      <c r="I36" s="72"/>
      <c r="J36" s="72"/>
      <c r="K36" s="71" t="s">
        <v>1279</v>
      </c>
      <c r="L36" s="75"/>
      <c r="M36" s="76">
        <v>5003.529296875</v>
      </c>
      <c r="N36" s="76">
        <v>1611.884033203125</v>
      </c>
      <c r="O36" s="77"/>
      <c r="P36" s="78"/>
      <c r="Q36" s="78"/>
      <c r="R36" s="82"/>
      <c r="S36" s="82"/>
      <c r="T36" s="82"/>
      <c r="U36" s="82"/>
      <c r="V36" s="52"/>
      <c r="W36" s="52"/>
      <c r="X36" s="52"/>
      <c r="Y36" s="52"/>
      <c r="Z36" s="51"/>
      <c r="AA36" s="73">
        <v>36</v>
      </c>
      <c r="AB36" s="73"/>
      <c r="AC36" s="74"/>
      <c r="AD36" s="80" t="s">
        <v>1279</v>
      </c>
      <c r="AE36" s="80" t="s">
        <v>2317</v>
      </c>
      <c r="AF36" s="80" t="s">
        <v>3206</v>
      </c>
      <c r="AG36" s="80" t="s">
        <v>3884</v>
      </c>
      <c r="AH36" s="80" t="s">
        <v>4589</v>
      </c>
      <c r="AI36" s="80">
        <v>101867</v>
      </c>
      <c r="AJ36" s="80">
        <v>37</v>
      </c>
      <c r="AK36" s="80">
        <v>1095</v>
      </c>
      <c r="AL36" s="80">
        <v>48</v>
      </c>
      <c r="AM36" s="80" t="s">
        <v>5614</v>
      </c>
      <c r="AN36" s="102" t="str">
        <f>HYPERLINK("https://www.youtube.com/watch?v=pquMSXnWaUw")</f>
        <v>https://www.youtube.com/watch?v=pquMSXnWaUw</v>
      </c>
      <c r="AO36" s="2"/>
      <c r="AP36" s="3"/>
      <c r="AQ36" s="3"/>
      <c r="AR36" s="3"/>
      <c r="AS36" s="3"/>
    </row>
    <row r="37" spans="1:45" ht="15">
      <c r="A37" s="66" t="s">
        <v>258</v>
      </c>
      <c r="B37" s="67"/>
      <c r="C37" s="67"/>
      <c r="D37" s="68"/>
      <c r="E37" s="70"/>
      <c r="F37" s="100" t="str">
        <f>HYPERLINK("https://i.ytimg.com/vi/DHhq_ExrUcE/default.jpg")</f>
        <v>https://i.ytimg.com/vi/DHhq_ExrUcE/default.jpg</v>
      </c>
      <c r="G37" s="67"/>
      <c r="H37" s="71"/>
      <c r="I37" s="72"/>
      <c r="J37" s="72"/>
      <c r="K37" s="71" t="s">
        <v>1280</v>
      </c>
      <c r="L37" s="75"/>
      <c r="M37" s="76">
        <v>4685.71484375</v>
      </c>
      <c r="N37" s="76">
        <v>1775.412353515625</v>
      </c>
      <c r="O37" s="77"/>
      <c r="P37" s="78"/>
      <c r="Q37" s="78"/>
      <c r="R37" s="82"/>
      <c r="S37" s="82"/>
      <c r="T37" s="82"/>
      <c r="U37" s="82"/>
      <c r="V37" s="52"/>
      <c r="W37" s="52"/>
      <c r="X37" s="52"/>
      <c r="Y37" s="52"/>
      <c r="Z37" s="51"/>
      <c r="AA37" s="73">
        <v>37</v>
      </c>
      <c r="AB37" s="73"/>
      <c r="AC37" s="74"/>
      <c r="AD37" s="80" t="s">
        <v>1280</v>
      </c>
      <c r="AE37" s="80" t="s">
        <v>2318</v>
      </c>
      <c r="AF37" s="80"/>
      <c r="AG37" s="80" t="s">
        <v>3895</v>
      </c>
      <c r="AH37" s="80" t="s">
        <v>4590</v>
      </c>
      <c r="AI37" s="80">
        <v>59596</v>
      </c>
      <c r="AJ37" s="80">
        <v>54</v>
      </c>
      <c r="AK37" s="80">
        <v>969</v>
      </c>
      <c r="AL37" s="80">
        <v>36</v>
      </c>
      <c r="AM37" s="80" t="s">
        <v>5614</v>
      </c>
      <c r="AN37" s="102" t="str">
        <f>HYPERLINK("https://www.youtube.com/watch?v=DHhq_ExrUcE")</f>
        <v>https://www.youtube.com/watch?v=DHhq_ExrUcE</v>
      </c>
      <c r="AO37" s="2"/>
      <c r="AP37" s="3"/>
      <c r="AQ37" s="3"/>
      <c r="AR37" s="3"/>
      <c r="AS37" s="3"/>
    </row>
    <row r="38" spans="1:45" ht="15">
      <c r="A38" s="66" t="s">
        <v>259</v>
      </c>
      <c r="B38" s="67"/>
      <c r="C38" s="67"/>
      <c r="D38" s="68"/>
      <c r="E38" s="70"/>
      <c r="F38" s="100" t="str">
        <f>HYPERLINK("https://i.ytimg.com/vi/92u6ibginyk/default.jpg")</f>
        <v>https://i.ytimg.com/vi/92u6ibginyk/default.jpg</v>
      </c>
      <c r="G38" s="67"/>
      <c r="H38" s="71"/>
      <c r="I38" s="72"/>
      <c r="J38" s="72"/>
      <c r="K38" s="71" t="s">
        <v>1281</v>
      </c>
      <c r="L38" s="75"/>
      <c r="M38" s="76">
        <v>4844.474609375</v>
      </c>
      <c r="N38" s="76">
        <v>1631.3582763671875</v>
      </c>
      <c r="O38" s="77"/>
      <c r="P38" s="78"/>
      <c r="Q38" s="78"/>
      <c r="R38" s="82"/>
      <c r="S38" s="82"/>
      <c r="T38" s="82"/>
      <c r="U38" s="82"/>
      <c r="V38" s="52"/>
      <c r="W38" s="52"/>
      <c r="X38" s="52"/>
      <c r="Y38" s="52"/>
      <c r="Z38" s="51"/>
      <c r="AA38" s="73">
        <v>38</v>
      </c>
      <c r="AB38" s="73"/>
      <c r="AC38" s="74"/>
      <c r="AD38" s="80" t="s">
        <v>1281</v>
      </c>
      <c r="AE38" s="80" t="s">
        <v>2319</v>
      </c>
      <c r="AF38" s="80"/>
      <c r="AG38" s="80" t="s">
        <v>3887</v>
      </c>
      <c r="AH38" s="80" t="s">
        <v>4591</v>
      </c>
      <c r="AI38" s="80">
        <v>45061</v>
      </c>
      <c r="AJ38" s="80">
        <v>0</v>
      </c>
      <c r="AK38" s="80">
        <v>699</v>
      </c>
      <c r="AL38" s="80">
        <v>38</v>
      </c>
      <c r="AM38" s="80" t="s">
        <v>5614</v>
      </c>
      <c r="AN38" s="102" t="str">
        <f>HYPERLINK("https://www.youtube.com/watch?v=92u6ibginyk")</f>
        <v>https://www.youtube.com/watch?v=92u6ibginyk</v>
      </c>
      <c r="AO38" s="2"/>
      <c r="AP38" s="3"/>
      <c r="AQ38" s="3"/>
      <c r="AR38" s="3"/>
      <c r="AS38" s="3"/>
    </row>
    <row r="39" spans="1:45" ht="15">
      <c r="A39" s="66" t="s">
        <v>260</v>
      </c>
      <c r="B39" s="67"/>
      <c r="C39" s="67"/>
      <c r="D39" s="68"/>
      <c r="E39" s="70"/>
      <c r="F39" s="100" t="str">
        <f>HYPERLINK("https://i.ytimg.com/vi/v0CBmDL7EFU/default.jpg")</f>
        <v>https://i.ytimg.com/vi/v0CBmDL7EFU/default.jpg</v>
      </c>
      <c r="G39" s="67"/>
      <c r="H39" s="71"/>
      <c r="I39" s="72"/>
      <c r="J39" s="72"/>
      <c r="K39" s="71" t="s">
        <v>1282</v>
      </c>
      <c r="L39" s="75"/>
      <c r="M39" s="76">
        <v>4709.2763671875</v>
      </c>
      <c r="N39" s="76">
        <v>1700.4473876953125</v>
      </c>
      <c r="O39" s="77"/>
      <c r="P39" s="78"/>
      <c r="Q39" s="78"/>
      <c r="R39" s="82"/>
      <c r="S39" s="82"/>
      <c r="T39" s="82"/>
      <c r="U39" s="82"/>
      <c r="V39" s="52"/>
      <c r="W39" s="52"/>
      <c r="X39" s="52"/>
      <c r="Y39" s="52"/>
      <c r="Z39" s="51"/>
      <c r="AA39" s="73">
        <v>39</v>
      </c>
      <c r="AB39" s="73"/>
      <c r="AC39" s="74"/>
      <c r="AD39" s="80" t="s">
        <v>1282</v>
      </c>
      <c r="AE39" s="80" t="s">
        <v>1282</v>
      </c>
      <c r="AF39" s="80"/>
      <c r="AG39" s="80" t="s">
        <v>3896</v>
      </c>
      <c r="AH39" s="80" t="s">
        <v>4592</v>
      </c>
      <c r="AI39" s="80">
        <v>9613</v>
      </c>
      <c r="AJ39" s="80">
        <v>1</v>
      </c>
      <c r="AK39" s="80">
        <v>54</v>
      </c>
      <c r="AL39" s="80">
        <v>2</v>
      </c>
      <c r="AM39" s="80" t="s">
        <v>5614</v>
      </c>
      <c r="AN39" s="102" t="str">
        <f>HYPERLINK("https://www.youtube.com/watch?v=v0CBmDL7EFU")</f>
        <v>https://www.youtube.com/watch?v=v0CBmDL7EFU</v>
      </c>
      <c r="AO39" s="2"/>
      <c r="AP39" s="3"/>
      <c r="AQ39" s="3"/>
      <c r="AR39" s="3"/>
      <c r="AS39" s="3"/>
    </row>
    <row r="40" spans="1:45" ht="15">
      <c r="A40" s="66" t="s">
        <v>261</v>
      </c>
      <c r="B40" s="67"/>
      <c r="C40" s="67"/>
      <c r="D40" s="68"/>
      <c r="E40" s="70"/>
      <c r="F40" s="100" t="str">
        <f>HYPERLINK("https://i.ytimg.com/vi/PcBH40LSN9o/default.jpg")</f>
        <v>https://i.ytimg.com/vi/PcBH40LSN9o/default.jpg</v>
      </c>
      <c r="G40" s="67"/>
      <c r="H40" s="71"/>
      <c r="I40" s="72"/>
      <c r="J40" s="72"/>
      <c r="K40" s="71" t="s">
        <v>1283</v>
      </c>
      <c r="L40" s="75"/>
      <c r="M40" s="76">
        <v>4882.1103515625</v>
      </c>
      <c r="N40" s="76">
        <v>1652.622802734375</v>
      </c>
      <c r="O40" s="77"/>
      <c r="P40" s="78"/>
      <c r="Q40" s="78"/>
      <c r="R40" s="82"/>
      <c r="S40" s="82"/>
      <c r="T40" s="82"/>
      <c r="U40" s="82"/>
      <c r="V40" s="52"/>
      <c r="W40" s="52"/>
      <c r="X40" s="52"/>
      <c r="Y40" s="52"/>
      <c r="Z40" s="51"/>
      <c r="AA40" s="73">
        <v>40</v>
      </c>
      <c r="AB40" s="73"/>
      <c r="AC40" s="74"/>
      <c r="AD40" s="80" t="s">
        <v>1283</v>
      </c>
      <c r="AE40" s="80" t="s">
        <v>2320</v>
      </c>
      <c r="AF40" s="80" t="s">
        <v>3207</v>
      </c>
      <c r="AG40" s="80" t="s">
        <v>3897</v>
      </c>
      <c r="AH40" s="80" t="s">
        <v>4593</v>
      </c>
      <c r="AI40" s="80">
        <v>63837</v>
      </c>
      <c r="AJ40" s="80">
        <v>11</v>
      </c>
      <c r="AK40" s="80">
        <v>539</v>
      </c>
      <c r="AL40" s="80">
        <v>18</v>
      </c>
      <c r="AM40" s="80" t="s">
        <v>5614</v>
      </c>
      <c r="AN40" s="102" t="str">
        <f>HYPERLINK("https://www.youtube.com/watch?v=PcBH40LSN9o")</f>
        <v>https://www.youtube.com/watch?v=PcBH40LSN9o</v>
      </c>
      <c r="AO40" s="2"/>
      <c r="AP40" s="3"/>
      <c r="AQ40" s="3"/>
      <c r="AR40" s="3"/>
      <c r="AS40" s="3"/>
    </row>
    <row r="41" spans="1:45" ht="15">
      <c r="A41" s="66" t="s">
        <v>180</v>
      </c>
      <c r="B41" s="67"/>
      <c r="C41" s="67"/>
      <c r="D41" s="68"/>
      <c r="E41" s="70"/>
      <c r="F41" s="100" t="str">
        <f>HYPERLINK("https://i.ytimg.com/vi/xNyvhqrqbmo/default.jpg")</f>
        <v>https://i.ytimg.com/vi/xNyvhqrqbmo/default.jpg</v>
      </c>
      <c r="G41" s="67"/>
      <c r="H41" s="71"/>
      <c r="I41" s="72"/>
      <c r="J41" s="72"/>
      <c r="K41" s="71" t="s">
        <v>1284</v>
      </c>
      <c r="L41" s="75"/>
      <c r="M41" s="76">
        <v>4740.38525390625</v>
      </c>
      <c r="N41" s="76">
        <v>3956.722900390625</v>
      </c>
      <c r="O41" s="77"/>
      <c r="P41" s="78"/>
      <c r="Q41" s="78"/>
      <c r="R41" s="82"/>
      <c r="S41" s="82"/>
      <c r="T41" s="82"/>
      <c r="U41" s="82"/>
      <c r="V41" s="52"/>
      <c r="W41" s="52"/>
      <c r="X41" s="52"/>
      <c r="Y41" s="52"/>
      <c r="Z41" s="51"/>
      <c r="AA41" s="73">
        <v>41</v>
      </c>
      <c r="AB41" s="73"/>
      <c r="AC41" s="74"/>
      <c r="AD41" s="80" t="s">
        <v>1284</v>
      </c>
      <c r="AE41" s="80" t="s">
        <v>2321</v>
      </c>
      <c r="AF41" s="80" t="s">
        <v>3208</v>
      </c>
      <c r="AG41" s="80" t="s">
        <v>3877</v>
      </c>
      <c r="AH41" s="80" t="s">
        <v>4594</v>
      </c>
      <c r="AI41" s="80">
        <v>2056</v>
      </c>
      <c r="AJ41" s="80">
        <v>0</v>
      </c>
      <c r="AK41" s="80">
        <v>11</v>
      </c>
      <c r="AL41" s="80">
        <v>0</v>
      </c>
      <c r="AM41" s="80" t="s">
        <v>5614</v>
      </c>
      <c r="AN41" s="102" t="str">
        <f>HYPERLINK("https://www.youtube.com/watch?v=xNyvhqrqbmo")</f>
        <v>https://www.youtube.com/watch?v=xNyvhqrqbmo</v>
      </c>
      <c r="AO41" s="2"/>
      <c r="AP41" s="3"/>
      <c r="AQ41" s="3"/>
      <c r="AR41" s="3"/>
      <c r="AS41" s="3"/>
    </row>
    <row r="42" spans="1:45" ht="15">
      <c r="A42" s="66" t="s">
        <v>262</v>
      </c>
      <c r="B42" s="67"/>
      <c r="C42" s="67"/>
      <c r="D42" s="68"/>
      <c r="E42" s="70"/>
      <c r="F42" s="100" t="str">
        <f>HYPERLINK("https://i.ytimg.com/vi/KLa1VFkAIAY/default.jpg")</f>
        <v>https://i.ytimg.com/vi/KLa1VFkAIAY/default.jpg</v>
      </c>
      <c r="G42" s="67"/>
      <c r="H42" s="71"/>
      <c r="I42" s="72"/>
      <c r="J42" s="72"/>
      <c r="K42" s="71" t="s">
        <v>1285</v>
      </c>
      <c r="L42" s="75"/>
      <c r="M42" s="76">
        <v>1813.1563720703125</v>
      </c>
      <c r="N42" s="76">
        <v>4282.81689453125</v>
      </c>
      <c r="O42" s="77"/>
      <c r="P42" s="78"/>
      <c r="Q42" s="78"/>
      <c r="R42" s="82"/>
      <c r="S42" s="82"/>
      <c r="T42" s="82"/>
      <c r="U42" s="82"/>
      <c r="V42" s="52"/>
      <c r="W42" s="52"/>
      <c r="X42" s="52"/>
      <c r="Y42" s="52"/>
      <c r="Z42" s="51"/>
      <c r="AA42" s="73">
        <v>42</v>
      </c>
      <c r="AB42" s="73"/>
      <c r="AC42" s="74"/>
      <c r="AD42" s="80" t="s">
        <v>1285</v>
      </c>
      <c r="AE42" s="80"/>
      <c r="AF42" s="80"/>
      <c r="AG42" s="80" t="s">
        <v>1374</v>
      </c>
      <c r="AH42" s="80" t="s">
        <v>4595</v>
      </c>
      <c r="AI42" s="80">
        <v>102</v>
      </c>
      <c r="AJ42" s="80">
        <v>1</v>
      </c>
      <c r="AK42" s="80">
        <v>6</v>
      </c>
      <c r="AL42" s="80">
        <v>0</v>
      </c>
      <c r="AM42" s="80" t="s">
        <v>5614</v>
      </c>
      <c r="AN42" s="102" t="str">
        <f>HYPERLINK("https://www.youtube.com/watch?v=KLa1VFkAIAY")</f>
        <v>https://www.youtube.com/watch?v=KLa1VFkAIAY</v>
      </c>
      <c r="AO42" s="2"/>
      <c r="AP42" s="3"/>
      <c r="AQ42" s="3"/>
      <c r="AR42" s="3"/>
      <c r="AS42" s="3"/>
    </row>
    <row r="43" spans="1:45" ht="15">
      <c r="A43" s="66" t="s">
        <v>181</v>
      </c>
      <c r="B43" s="67"/>
      <c r="C43" s="67"/>
      <c r="D43" s="68"/>
      <c r="E43" s="70"/>
      <c r="F43" s="100" t="str">
        <f>HYPERLINK("https://i.ytimg.com/vi/r8ZxXoe9Za4/default.jpg")</f>
        <v>https://i.ytimg.com/vi/r8ZxXoe9Za4/default.jpg</v>
      </c>
      <c r="G43" s="67"/>
      <c r="H43" s="71"/>
      <c r="I43" s="72"/>
      <c r="J43" s="72"/>
      <c r="K43" s="71" t="s">
        <v>1286</v>
      </c>
      <c r="L43" s="75"/>
      <c r="M43" s="76">
        <v>4942.13623046875</v>
      </c>
      <c r="N43" s="76">
        <v>4581.26708984375</v>
      </c>
      <c r="O43" s="77"/>
      <c r="P43" s="78"/>
      <c r="Q43" s="78"/>
      <c r="R43" s="82"/>
      <c r="S43" s="82"/>
      <c r="T43" s="82"/>
      <c r="U43" s="82"/>
      <c r="V43" s="52"/>
      <c r="W43" s="52"/>
      <c r="X43" s="52"/>
      <c r="Y43" s="52"/>
      <c r="Z43" s="51"/>
      <c r="AA43" s="73">
        <v>43</v>
      </c>
      <c r="AB43" s="73"/>
      <c r="AC43" s="74"/>
      <c r="AD43" s="80" t="s">
        <v>1286</v>
      </c>
      <c r="AE43" s="80" t="s">
        <v>2322</v>
      </c>
      <c r="AF43" s="80"/>
      <c r="AG43" s="80" t="s">
        <v>3898</v>
      </c>
      <c r="AH43" s="80" t="s">
        <v>4596</v>
      </c>
      <c r="AI43" s="80">
        <v>384</v>
      </c>
      <c r="AJ43" s="80">
        <v>0</v>
      </c>
      <c r="AK43" s="80">
        <v>17</v>
      </c>
      <c r="AL43" s="80">
        <v>3</v>
      </c>
      <c r="AM43" s="80" t="s">
        <v>5614</v>
      </c>
      <c r="AN43" s="102" t="str">
        <f>HYPERLINK("https://www.youtube.com/watch?v=r8ZxXoe9Za4")</f>
        <v>https://www.youtube.com/watch?v=r8ZxXoe9Za4</v>
      </c>
      <c r="AO43" s="2"/>
      <c r="AP43" s="3"/>
      <c r="AQ43" s="3"/>
      <c r="AR43" s="3"/>
      <c r="AS43" s="3"/>
    </row>
    <row r="44" spans="1:45" ht="15">
      <c r="A44" s="66" t="s">
        <v>263</v>
      </c>
      <c r="B44" s="67"/>
      <c r="C44" s="67"/>
      <c r="D44" s="68"/>
      <c r="E44" s="70"/>
      <c r="F44" s="100" t="str">
        <f>HYPERLINK("https://i.ytimg.com/vi/ce6UaS4XMRY/default.jpg")</f>
        <v>https://i.ytimg.com/vi/ce6UaS4XMRY/default.jpg</v>
      </c>
      <c r="G44" s="67"/>
      <c r="H44" s="71"/>
      <c r="I44" s="72"/>
      <c r="J44" s="72"/>
      <c r="K44" s="71" t="s">
        <v>1287</v>
      </c>
      <c r="L44" s="75"/>
      <c r="M44" s="76">
        <v>2559.861083984375</v>
      </c>
      <c r="N44" s="76">
        <v>6430.388671875</v>
      </c>
      <c r="O44" s="77"/>
      <c r="P44" s="78"/>
      <c r="Q44" s="78"/>
      <c r="R44" s="82"/>
      <c r="S44" s="82"/>
      <c r="T44" s="82"/>
      <c r="U44" s="82"/>
      <c r="V44" s="52"/>
      <c r="W44" s="52"/>
      <c r="X44" s="52"/>
      <c r="Y44" s="52"/>
      <c r="Z44" s="51"/>
      <c r="AA44" s="73">
        <v>44</v>
      </c>
      <c r="AB44" s="73"/>
      <c r="AC44" s="74"/>
      <c r="AD44" s="80" t="s">
        <v>1287</v>
      </c>
      <c r="AE44" s="80" t="s">
        <v>2323</v>
      </c>
      <c r="AF44" s="80" t="s">
        <v>3209</v>
      </c>
      <c r="AG44" s="80" t="s">
        <v>3899</v>
      </c>
      <c r="AH44" s="80" t="s">
        <v>4597</v>
      </c>
      <c r="AI44" s="80">
        <v>14399729</v>
      </c>
      <c r="AJ44" s="80">
        <v>6636</v>
      </c>
      <c r="AK44" s="80">
        <v>186062</v>
      </c>
      <c r="AL44" s="80">
        <v>9652</v>
      </c>
      <c r="AM44" s="80" t="s">
        <v>5614</v>
      </c>
      <c r="AN44" s="102" t="str">
        <f>HYPERLINK("https://www.youtube.com/watch?v=ce6UaS4XMRY")</f>
        <v>https://www.youtube.com/watch?v=ce6UaS4XMRY</v>
      </c>
      <c r="AO44" s="2"/>
      <c r="AP44" s="3"/>
      <c r="AQ44" s="3"/>
      <c r="AR44" s="3"/>
      <c r="AS44" s="3"/>
    </row>
    <row r="45" spans="1:45" ht="15">
      <c r="A45" s="66" t="s">
        <v>264</v>
      </c>
      <c r="B45" s="67"/>
      <c r="C45" s="67"/>
      <c r="D45" s="68"/>
      <c r="E45" s="70"/>
      <c r="F45" s="100" t="str">
        <f>HYPERLINK("https://i.ytimg.com/vi/AETFvQonfV8/default.jpg")</f>
        <v>https://i.ytimg.com/vi/AETFvQonfV8/default.jpg</v>
      </c>
      <c r="G45" s="67"/>
      <c r="H45" s="71"/>
      <c r="I45" s="72"/>
      <c r="J45" s="72"/>
      <c r="K45" s="71" t="s">
        <v>1288</v>
      </c>
      <c r="L45" s="75"/>
      <c r="M45" s="76">
        <v>2784.096923828125</v>
      </c>
      <c r="N45" s="76">
        <v>6604.716796875</v>
      </c>
      <c r="O45" s="77"/>
      <c r="P45" s="78"/>
      <c r="Q45" s="78"/>
      <c r="R45" s="82"/>
      <c r="S45" s="82"/>
      <c r="T45" s="82"/>
      <c r="U45" s="82"/>
      <c r="V45" s="52"/>
      <c r="W45" s="52"/>
      <c r="X45" s="52"/>
      <c r="Y45" s="52"/>
      <c r="Z45" s="51"/>
      <c r="AA45" s="73">
        <v>45</v>
      </c>
      <c r="AB45" s="73"/>
      <c r="AC45" s="74"/>
      <c r="AD45" s="80" t="s">
        <v>1288</v>
      </c>
      <c r="AE45" s="80" t="s">
        <v>2324</v>
      </c>
      <c r="AF45" s="80" t="s">
        <v>3210</v>
      </c>
      <c r="AG45" s="80" t="s">
        <v>3900</v>
      </c>
      <c r="AH45" s="80" t="s">
        <v>4598</v>
      </c>
      <c r="AI45" s="80">
        <v>1955726054</v>
      </c>
      <c r="AJ45" s="80">
        <v>806099</v>
      </c>
      <c r="AK45" s="80">
        <v>7486019</v>
      </c>
      <c r="AL45" s="80">
        <v>1149728</v>
      </c>
      <c r="AM45" s="80" t="s">
        <v>5614</v>
      </c>
      <c r="AN45" s="102" t="str">
        <f>HYPERLINK("https://www.youtube.com/watch?v=AETFvQonfV8")</f>
        <v>https://www.youtube.com/watch?v=AETFvQonfV8</v>
      </c>
      <c r="AO45" s="2"/>
      <c r="AP45" s="3"/>
      <c r="AQ45" s="3"/>
      <c r="AR45" s="3"/>
      <c r="AS45" s="3"/>
    </row>
    <row r="46" spans="1:45" ht="15">
      <c r="A46" s="66" t="s">
        <v>265</v>
      </c>
      <c r="B46" s="67"/>
      <c r="C46" s="67"/>
      <c r="D46" s="68"/>
      <c r="E46" s="70"/>
      <c r="F46" s="100" t="str">
        <f>HYPERLINK("https://i.ytimg.com/vi/miHHFKSomSU/default.jpg")</f>
        <v>https://i.ytimg.com/vi/miHHFKSomSU/default.jpg</v>
      </c>
      <c r="G46" s="67"/>
      <c r="H46" s="71"/>
      <c r="I46" s="72"/>
      <c r="J46" s="72"/>
      <c r="K46" s="71" t="s">
        <v>1289</v>
      </c>
      <c r="L46" s="75"/>
      <c r="M46" s="76">
        <v>2523.17138671875</v>
      </c>
      <c r="N46" s="76">
        <v>6404.0673828125</v>
      </c>
      <c r="O46" s="77"/>
      <c r="P46" s="78"/>
      <c r="Q46" s="78"/>
      <c r="R46" s="82"/>
      <c r="S46" s="82"/>
      <c r="T46" s="82"/>
      <c r="U46" s="82"/>
      <c r="V46" s="52"/>
      <c r="W46" s="52"/>
      <c r="X46" s="52"/>
      <c r="Y46" s="52"/>
      <c r="Z46" s="51"/>
      <c r="AA46" s="73">
        <v>46</v>
      </c>
      <c r="AB46" s="73"/>
      <c r="AC46" s="74"/>
      <c r="AD46" s="80" t="s">
        <v>1289</v>
      </c>
      <c r="AE46" s="80" t="s">
        <v>2325</v>
      </c>
      <c r="AF46" s="80" t="s">
        <v>3211</v>
      </c>
      <c r="AG46" s="80" t="s">
        <v>3901</v>
      </c>
      <c r="AH46" s="80" t="s">
        <v>4599</v>
      </c>
      <c r="AI46" s="80">
        <v>1476476</v>
      </c>
      <c r="AJ46" s="80">
        <v>456</v>
      </c>
      <c r="AK46" s="80">
        <v>10561</v>
      </c>
      <c r="AL46" s="80">
        <v>831</v>
      </c>
      <c r="AM46" s="80" t="s">
        <v>5614</v>
      </c>
      <c r="AN46" s="102" t="str">
        <f>HYPERLINK("https://www.youtube.com/watch?v=miHHFKSomSU")</f>
        <v>https://www.youtube.com/watch?v=miHHFKSomSU</v>
      </c>
      <c r="AO46" s="2"/>
      <c r="AP46" s="3"/>
      <c r="AQ46" s="3"/>
      <c r="AR46" s="3"/>
      <c r="AS46" s="3"/>
    </row>
    <row r="47" spans="1:45" ht="15">
      <c r="A47" s="66" t="s">
        <v>266</v>
      </c>
      <c r="B47" s="67"/>
      <c r="C47" s="67"/>
      <c r="D47" s="68"/>
      <c r="E47" s="70"/>
      <c r="F47" s="100" t="str">
        <f>HYPERLINK("https://i.ytimg.com/vi/pL4EGVugHSk/default.jpg")</f>
        <v>https://i.ytimg.com/vi/pL4EGVugHSk/default.jpg</v>
      </c>
      <c r="G47" s="67"/>
      <c r="H47" s="71"/>
      <c r="I47" s="72"/>
      <c r="J47" s="72"/>
      <c r="K47" s="71" t="s">
        <v>1290</v>
      </c>
      <c r="L47" s="75"/>
      <c r="M47" s="76">
        <v>2671.835693359375</v>
      </c>
      <c r="N47" s="76">
        <v>6545.802734375</v>
      </c>
      <c r="O47" s="77"/>
      <c r="P47" s="78"/>
      <c r="Q47" s="78"/>
      <c r="R47" s="82"/>
      <c r="S47" s="82"/>
      <c r="T47" s="82"/>
      <c r="U47" s="82"/>
      <c r="V47" s="52"/>
      <c r="W47" s="52"/>
      <c r="X47" s="52"/>
      <c r="Y47" s="52"/>
      <c r="Z47" s="51"/>
      <c r="AA47" s="73">
        <v>47</v>
      </c>
      <c r="AB47" s="73"/>
      <c r="AC47" s="74"/>
      <c r="AD47" s="80" t="s">
        <v>1290</v>
      </c>
      <c r="AE47" s="80"/>
      <c r="AF47" s="80"/>
      <c r="AG47" s="80" t="s">
        <v>3898</v>
      </c>
      <c r="AH47" s="80" t="s">
        <v>4600</v>
      </c>
      <c r="AI47" s="80">
        <v>5</v>
      </c>
      <c r="AJ47" s="80">
        <v>0</v>
      </c>
      <c r="AK47" s="80">
        <v>1</v>
      </c>
      <c r="AL47" s="80">
        <v>0</v>
      </c>
      <c r="AM47" s="80" t="s">
        <v>5614</v>
      </c>
      <c r="AN47" s="102" t="str">
        <f>HYPERLINK("https://www.youtube.com/watch?v=pL4EGVugHSk")</f>
        <v>https://www.youtube.com/watch?v=pL4EGVugHSk</v>
      </c>
      <c r="AO47" s="2"/>
      <c r="AP47" s="3"/>
      <c r="AQ47" s="3"/>
      <c r="AR47" s="3"/>
      <c r="AS47" s="3"/>
    </row>
    <row r="48" spans="1:45" ht="15">
      <c r="A48" s="66" t="s">
        <v>267</v>
      </c>
      <c r="B48" s="67"/>
      <c r="C48" s="67"/>
      <c r="D48" s="68"/>
      <c r="E48" s="70"/>
      <c r="F48" s="100" t="str">
        <f>HYPERLINK("https://i.ytimg.com/vi/j6St77SM9j4/default.jpg")</f>
        <v>https://i.ytimg.com/vi/j6St77SM9j4/default.jpg</v>
      </c>
      <c r="G48" s="67"/>
      <c r="H48" s="71"/>
      <c r="I48" s="72"/>
      <c r="J48" s="72"/>
      <c r="K48" s="71" t="s">
        <v>1291</v>
      </c>
      <c r="L48" s="75"/>
      <c r="M48" s="76">
        <v>2764.658203125</v>
      </c>
      <c r="N48" s="76">
        <v>6605.1513671875</v>
      </c>
      <c r="O48" s="77"/>
      <c r="P48" s="78"/>
      <c r="Q48" s="78"/>
      <c r="R48" s="82"/>
      <c r="S48" s="82"/>
      <c r="T48" s="82"/>
      <c r="U48" s="82"/>
      <c r="V48" s="52"/>
      <c r="W48" s="52"/>
      <c r="X48" s="52"/>
      <c r="Y48" s="52"/>
      <c r="Z48" s="51"/>
      <c r="AA48" s="73">
        <v>48</v>
      </c>
      <c r="AB48" s="73"/>
      <c r="AC48" s="74"/>
      <c r="AD48" s="80" t="s">
        <v>1291</v>
      </c>
      <c r="AE48" s="80" t="s">
        <v>2322</v>
      </c>
      <c r="AF48" s="80"/>
      <c r="AG48" s="80" t="s">
        <v>3898</v>
      </c>
      <c r="AH48" s="80" t="s">
        <v>4601</v>
      </c>
      <c r="AI48" s="80">
        <v>957</v>
      </c>
      <c r="AJ48" s="80">
        <v>0</v>
      </c>
      <c r="AK48" s="80">
        <v>38</v>
      </c>
      <c r="AL48" s="80">
        <v>0</v>
      </c>
      <c r="AM48" s="80" t="s">
        <v>5614</v>
      </c>
      <c r="AN48" s="102" t="str">
        <f>HYPERLINK("https://www.youtube.com/watch?v=j6St77SM9j4")</f>
        <v>https://www.youtube.com/watch?v=j6St77SM9j4</v>
      </c>
      <c r="AO48" s="2"/>
      <c r="AP48" s="3"/>
      <c r="AQ48" s="3"/>
      <c r="AR48" s="3"/>
      <c r="AS48" s="3"/>
    </row>
    <row r="49" spans="1:45" ht="15">
      <c r="A49" s="66" t="s">
        <v>268</v>
      </c>
      <c r="B49" s="67"/>
      <c r="C49" s="67"/>
      <c r="D49" s="68"/>
      <c r="E49" s="70"/>
      <c r="F49" s="100" t="str">
        <f>HYPERLINK("https://i.ytimg.com/vi/Yc8VzB3rao8/default.jpg")</f>
        <v>https://i.ytimg.com/vi/Yc8VzB3rao8/default.jpg</v>
      </c>
      <c r="G49" s="67"/>
      <c r="H49" s="71"/>
      <c r="I49" s="72"/>
      <c r="J49" s="72"/>
      <c r="K49" s="71" t="s">
        <v>1292</v>
      </c>
      <c r="L49" s="75"/>
      <c r="M49" s="76">
        <v>2865.794189453125</v>
      </c>
      <c r="N49" s="76">
        <v>6673.33251953125</v>
      </c>
      <c r="O49" s="77"/>
      <c r="P49" s="78"/>
      <c r="Q49" s="78"/>
      <c r="R49" s="82"/>
      <c r="S49" s="82"/>
      <c r="T49" s="82"/>
      <c r="U49" s="82"/>
      <c r="V49" s="52"/>
      <c r="W49" s="52"/>
      <c r="X49" s="52"/>
      <c r="Y49" s="52"/>
      <c r="Z49" s="51"/>
      <c r="AA49" s="73">
        <v>49</v>
      </c>
      <c r="AB49" s="73"/>
      <c r="AC49" s="74"/>
      <c r="AD49" s="80" t="s">
        <v>1292</v>
      </c>
      <c r="AE49" s="80" t="s">
        <v>2326</v>
      </c>
      <c r="AF49" s="80" t="s">
        <v>3212</v>
      </c>
      <c r="AG49" s="80" t="s">
        <v>3902</v>
      </c>
      <c r="AH49" s="80" t="s">
        <v>4602</v>
      </c>
      <c r="AI49" s="80">
        <v>381</v>
      </c>
      <c r="AJ49" s="80">
        <v>0</v>
      </c>
      <c r="AK49" s="80">
        <v>20</v>
      </c>
      <c r="AL49" s="80">
        <v>0</v>
      </c>
      <c r="AM49" s="80" t="s">
        <v>5614</v>
      </c>
      <c r="AN49" s="102" t="str">
        <f>HYPERLINK("https://www.youtube.com/watch?v=Yc8VzB3rao8")</f>
        <v>https://www.youtube.com/watch?v=Yc8VzB3rao8</v>
      </c>
      <c r="AO49" s="2"/>
      <c r="AP49" s="3"/>
      <c r="AQ49" s="3"/>
      <c r="AR49" s="3"/>
      <c r="AS49" s="3"/>
    </row>
    <row r="50" spans="1:45" ht="15">
      <c r="A50" s="66" t="s">
        <v>225</v>
      </c>
      <c r="B50" s="67"/>
      <c r="C50" s="67"/>
      <c r="D50" s="68"/>
      <c r="E50" s="70"/>
      <c r="F50" s="100" t="str">
        <f>HYPERLINK("https://i.ytimg.com/vi/gtcO_ZILUKk/default.jpg")</f>
        <v>https://i.ytimg.com/vi/gtcO_ZILUKk/default.jpg</v>
      </c>
      <c r="G50" s="67"/>
      <c r="H50" s="71"/>
      <c r="I50" s="72"/>
      <c r="J50" s="72"/>
      <c r="K50" s="71" t="s">
        <v>1293</v>
      </c>
      <c r="L50" s="75"/>
      <c r="M50" s="76">
        <v>5524.29833984375</v>
      </c>
      <c r="N50" s="76">
        <v>4281.3466796875</v>
      </c>
      <c r="O50" s="77"/>
      <c r="P50" s="78"/>
      <c r="Q50" s="78"/>
      <c r="R50" s="82"/>
      <c r="S50" s="82"/>
      <c r="T50" s="82"/>
      <c r="U50" s="82"/>
      <c r="V50" s="52"/>
      <c r="W50" s="52"/>
      <c r="X50" s="52"/>
      <c r="Y50" s="52"/>
      <c r="Z50" s="51"/>
      <c r="AA50" s="73">
        <v>50</v>
      </c>
      <c r="AB50" s="73"/>
      <c r="AC50" s="74"/>
      <c r="AD50" s="80" t="s">
        <v>1293</v>
      </c>
      <c r="AE50" s="80" t="s">
        <v>2327</v>
      </c>
      <c r="AF50" s="80" t="s">
        <v>3213</v>
      </c>
      <c r="AG50" s="80" t="s">
        <v>3903</v>
      </c>
      <c r="AH50" s="80" t="s">
        <v>4603</v>
      </c>
      <c r="AI50" s="80">
        <v>35502</v>
      </c>
      <c r="AJ50" s="80">
        <v>0</v>
      </c>
      <c r="AK50" s="80">
        <v>289</v>
      </c>
      <c r="AL50" s="80">
        <v>23</v>
      </c>
      <c r="AM50" s="80" t="s">
        <v>5614</v>
      </c>
      <c r="AN50" s="102" t="str">
        <f>HYPERLINK("https://www.youtube.com/watch?v=gtcO_ZILUKk")</f>
        <v>https://www.youtube.com/watch?v=gtcO_ZILUKk</v>
      </c>
      <c r="AO50" s="2"/>
      <c r="AP50" s="3"/>
      <c r="AQ50" s="3"/>
      <c r="AR50" s="3"/>
      <c r="AS50" s="3"/>
    </row>
    <row r="51" spans="1:45" ht="15">
      <c r="A51" s="66" t="s">
        <v>206</v>
      </c>
      <c r="B51" s="67"/>
      <c r="C51" s="67"/>
      <c r="D51" s="68"/>
      <c r="E51" s="70"/>
      <c r="F51" s="100" t="str">
        <f>HYPERLINK("https://i.ytimg.com/vi/s1ZtLJlVi8E/default.jpg")</f>
        <v>https://i.ytimg.com/vi/s1ZtLJlVi8E/default.jpg</v>
      </c>
      <c r="G51" s="67"/>
      <c r="H51" s="71"/>
      <c r="I51" s="72"/>
      <c r="J51" s="72"/>
      <c r="K51" s="71" t="s">
        <v>1294</v>
      </c>
      <c r="L51" s="75"/>
      <c r="M51" s="76">
        <v>5115.279296875</v>
      </c>
      <c r="N51" s="76">
        <v>4936.78369140625</v>
      </c>
      <c r="O51" s="77"/>
      <c r="P51" s="78"/>
      <c r="Q51" s="78"/>
      <c r="R51" s="82"/>
      <c r="S51" s="82"/>
      <c r="T51" s="82"/>
      <c r="U51" s="82"/>
      <c r="V51" s="52"/>
      <c r="W51" s="52"/>
      <c r="X51" s="52"/>
      <c r="Y51" s="52"/>
      <c r="Z51" s="51"/>
      <c r="AA51" s="73">
        <v>51</v>
      </c>
      <c r="AB51" s="73"/>
      <c r="AC51" s="74"/>
      <c r="AD51" s="80" t="s">
        <v>1294</v>
      </c>
      <c r="AE51" s="80" t="s">
        <v>2328</v>
      </c>
      <c r="AF51" s="80" t="s">
        <v>3214</v>
      </c>
      <c r="AG51" s="80" t="s">
        <v>3904</v>
      </c>
      <c r="AH51" s="80" t="s">
        <v>4604</v>
      </c>
      <c r="AI51" s="80">
        <v>2358</v>
      </c>
      <c r="AJ51" s="80">
        <v>1</v>
      </c>
      <c r="AK51" s="80">
        <v>9</v>
      </c>
      <c r="AL51" s="80">
        <v>0</v>
      </c>
      <c r="AM51" s="80" t="s">
        <v>5614</v>
      </c>
      <c r="AN51" s="102" t="str">
        <f>HYPERLINK("https://www.youtube.com/watch?v=s1ZtLJlVi8E")</f>
        <v>https://www.youtube.com/watch?v=s1ZtLJlVi8E</v>
      </c>
      <c r="AO51" s="2"/>
      <c r="AP51" s="3"/>
      <c r="AQ51" s="3"/>
      <c r="AR51" s="3"/>
      <c r="AS51" s="3"/>
    </row>
    <row r="52" spans="1:45" ht="15">
      <c r="A52" s="66" t="s">
        <v>201</v>
      </c>
      <c r="B52" s="67"/>
      <c r="C52" s="67"/>
      <c r="D52" s="68"/>
      <c r="E52" s="70"/>
      <c r="F52" s="100" t="str">
        <f>HYPERLINK("https://i.ytimg.com/vi/pc_7DHxvupA/default.jpg")</f>
        <v>https://i.ytimg.com/vi/pc_7DHxvupA/default.jpg</v>
      </c>
      <c r="G52" s="67"/>
      <c r="H52" s="71"/>
      <c r="I52" s="72"/>
      <c r="J52" s="72"/>
      <c r="K52" s="71" t="s">
        <v>1295</v>
      </c>
      <c r="L52" s="75"/>
      <c r="M52" s="76">
        <v>4869.2412109375</v>
      </c>
      <c r="N52" s="76">
        <v>3345.671142578125</v>
      </c>
      <c r="O52" s="77"/>
      <c r="P52" s="78"/>
      <c r="Q52" s="78"/>
      <c r="R52" s="82"/>
      <c r="S52" s="82"/>
      <c r="T52" s="82"/>
      <c r="U52" s="82"/>
      <c r="V52" s="52"/>
      <c r="W52" s="52"/>
      <c r="X52" s="52"/>
      <c r="Y52" s="52"/>
      <c r="Z52" s="51"/>
      <c r="AA52" s="73">
        <v>52</v>
      </c>
      <c r="AB52" s="73"/>
      <c r="AC52" s="74"/>
      <c r="AD52" s="80" t="s">
        <v>1295</v>
      </c>
      <c r="AE52" s="80" t="s">
        <v>2329</v>
      </c>
      <c r="AF52" s="80" t="s">
        <v>3215</v>
      </c>
      <c r="AG52" s="80" t="s">
        <v>3905</v>
      </c>
      <c r="AH52" s="80" t="s">
        <v>4605</v>
      </c>
      <c r="AI52" s="80">
        <v>1501</v>
      </c>
      <c r="AJ52" s="80">
        <v>0</v>
      </c>
      <c r="AK52" s="80">
        <v>7</v>
      </c>
      <c r="AL52" s="80">
        <v>0</v>
      </c>
      <c r="AM52" s="80" t="s">
        <v>5614</v>
      </c>
      <c r="AN52" s="102" t="str">
        <f>HYPERLINK("https://www.youtube.com/watch?v=pc_7DHxvupA")</f>
        <v>https://www.youtube.com/watch?v=pc_7DHxvupA</v>
      </c>
      <c r="AO52" s="2"/>
      <c r="AP52" s="3"/>
      <c r="AQ52" s="3"/>
      <c r="AR52" s="3"/>
      <c r="AS52" s="3"/>
    </row>
    <row r="53" spans="1:45" ht="15">
      <c r="A53" s="66" t="s">
        <v>182</v>
      </c>
      <c r="B53" s="67"/>
      <c r="C53" s="67"/>
      <c r="D53" s="68"/>
      <c r="E53" s="70"/>
      <c r="F53" s="100" t="str">
        <f>HYPERLINK("https://i.ytimg.com/vi/6p4lUSnw9d4/default.jpg")</f>
        <v>https://i.ytimg.com/vi/6p4lUSnw9d4/default.jpg</v>
      </c>
      <c r="G53" s="67"/>
      <c r="H53" s="71"/>
      <c r="I53" s="72"/>
      <c r="J53" s="72"/>
      <c r="K53" s="71" t="s">
        <v>1296</v>
      </c>
      <c r="L53" s="75"/>
      <c r="M53" s="76">
        <v>4353.51416015625</v>
      </c>
      <c r="N53" s="76">
        <v>8521.2099609375</v>
      </c>
      <c r="O53" s="77"/>
      <c r="P53" s="78"/>
      <c r="Q53" s="78"/>
      <c r="R53" s="82"/>
      <c r="S53" s="82"/>
      <c r="T53" s="82"/>
      <c r="U53" s="82"/>
      <c r="V53" s="52"/>
      <c r="W53" s="52"/>
      <c r="X53" s="52"/>
      <c r="Y53" s="52"/>
      <c r="Z53" s="51"/>
      <c r="AA53" s="73">
        <v>53</v>
      </c>
      <c r="AB53" s="73"/>
      <c r="AC53" s="74"/>
      <c r="AD53" s="80" t="s">
        <v>1296</v>
      </c>
      <c r="AE53" s="80" t="s">
        <v>2330</v>
      </c>
      <c r="AF53" s="80"/>
      <c r="AG53" s="80" t="s">
        <v>3906</v>
      </c>
      <c r="AH53" s="80" t="s">
        <v>4606</v>
      </c>
      <c r="AI53" s="80">
        <v>33</v>
      </c>
      <c r="AJ53" s="80">
        <v>0</v>
      </c>
      <c r="AK53" s="80">
        <v>3</v>
      </c>
      <c r="AL53" s="80">
        <v>0</v>
      </c>
      <c r="AM53" s="80" t="s">
        <v>5614</v>
      </c>
      <c r="AN53" s="102" t="str">
        <f>HYPERLINK("https://www.youtube.com/watch?v=6p4lUSnw9d4")</f>
        <v>https://www.youtube.com/watch?v=6p4lUSnw9d4</v>
      </c>
      <c r="AO53" s="2"/>
      <c r="AP53" s="3"/>
      <c r="AQ53" s="3"/>
      <c r="AR53" s="3"/>
      <c r="AS53" s="3"/>
    </row>
    <row r="54" spans="1:45" ht="15">
      <c r="A54" s="66" t="s">
        <v>269</v>
      </c>
      <c r="B54" s="67"/>
      <c r="C54" s="67"/>
      <c r="D54" s="68"/>
      <c r="E54" s="70"/>
      <c r="F54" s="100" t="str">
        <f>HYPERLINK("https://i.ytimg.com/vi/lDToOe8pVzY/default.jpg")</f>
        <v>https://i.ytimg.com/vi/lDToOe8pVzY/default.jpg</v>
      </c>
      <c r="G54" s="67"/>
      <c r="H54" s="71"/>
      <c r="I54" s="72"/>
      <c r="J54" s="72"/>
      <c r="K54" s="71" t="s">
        <v>1297</v>
      </c>
      <c r="L54" s="75"/>
      <c r="M54" s="76">
        <v>4374.53369140625</v>
      </c>
      <c r="N54" s="76">
        <v>9851.79296875</v>
      </c>
      <c r="O54" s="77"/>
      <c r="P54" s="78"/>
      <c r="Q54" s="78"/>
      <c r="R54" s="82"/>
      <c r="S54" s="82"/>
      <c r="T54" s="82"/>
      <c r="U54" s="82"/>
      <c r="V54" s="52"/>
      <c r="W54" s="52"/>
      <c r="X54" s="52"/>
      <c r="Y54" s="52"/>
      <c r="Z54" s="51"/>
      <c r="AA54" s="73">
        <v>54</v>
      </c>
      <c r="AB54" s="73"/>
      <c r="AC54" s="74"/>
      <c r="AD54" s="80" t="s">
        <v>1297</v>
      </c>
      <c r="AE54" s="80" t="s">
        <v>2331</v>
      </c>
      <c r="AF54" s="80" t="s">
        <v>3216</v>
      </c>
      <c r="AG54" s="80" t="s">
        <v>3907</v>
      </c>
      <c r="AH54" s="80" t="s">
        <v>4607</v>
      </c>
      <c r="AI54" s="80">
        <v>420117402</v>
      </c>
      <c r="AJ54" s="80">
        <v>25946</v>
      </c>
      <c r="AK54" s="80">
        <v>1791667</v>
      </c>
      <c r="AL54" s="80">
        <v>113364</v>
      </c>
      <c r="AM54" s="80" t="s">
        <v>5614</v>
      </c>
      <c r="AN54" s="102" t="str">
        <f>HYPERLINK("https://www.youtube.com/watch?v=lDToOe8pVzY")</f>
        <v>https://www.youtube.com/watch?v=lDToOe8pVzY</v>
      </c>
      <c r="AO54" s="2"/>
      <c r="AP54" s="3"/>
      <c r="AQ54" s="3"/>
      <c r="AR54" s="3"/>
      <c r="AS54" s="3"/>
    </row>
    <row r="55" spans="1:45" ht="15">
      <c r="A55" s="66" t="s">
        <v>270</v>
      </c>
      <c r="B55" s="67"/>
      <c r="C55" s="67"/>
      <c r="D55" s="68"/>
      <c r="E55" s="70"/>
      <c r="F55" s="100" t="str">
        <f>HYPERLINK("https://i.ytimg.com/vi/9A8bVdiWeQc/default.jpg")</f>
        <v>https://i.ytimg.com/vi/9A8bVdiWeQc/default.jpg</v>
      </c>
      <c r="G55" s="67"/>
      <c r="H55" s="71"/>
      <c r="I55" s="72"/>
      <c r="J55" s="72"/>
      <c r="K55" s="71" t="s">
        <v>1298</v>
      </c>
      <c r="L55" s="75"/>
      <c r="M55" s="76">
        <v>3748.74169921875</v>
      </c>
      <c r="N55" s="76">
        <v>9720.3212890625</v>
      </c>
      <c r="O55" s="77"/>
      <c r="P55" s="78"/>
      <c r="Q55" s="78"/>
      <c r="R55" s="82"/>
      <c r="S55" s="82"/>
      <c r="T55" s="82"/>
      <c r="U55" s="82"/>
      <c r="V55" s="52"/>
      <c r="W55" s="52"/>
      <c r="X55" s="52"/>
      <c r="Y55" s="52"/>
      <c r="Z55" s="51"/>
      <c r="AA55" s="73">
        <v>55</v>
      </c>
      <c r="AB55" s="73"/>
      <c r="AC55" s="74"/>
      <c r="AD55" s="80" t="s">
        <v>1298</v>
      </c>
      <c r="AE55" s="80" t="s">
        <v>2332</v>
      </c>
      <c r="AF55" s="80" t="s">
        <v>3217</v>
      </c>
      <c r="AG55" s="80" t="s">
        <v>3908</v>
      </c>
      <c r="AH55" s="80" t="s">
        <v>4608</v>
      </c>
      <c r="AI55" s="80">
        <v>81</v>
      </c>
      <c r="AJ55" s="80">
        <v>0</v>
      </c>
      <c r="AK55" s="80">
        <v>4</v>
      </c>
      <c r="AL55" s="80">
        <v>0</v>
      </c>
      <c r="AM55" s="80" t="s">
        <v>5614</v>
      </c>
      <c r="AN55" s="102" t="str">
        <f>HYPERLINK("https://www.youtube.com/watch?v=9A8bVdiWeQc")</f>
        <v>https://www.youtube.com/watch?v=9A8bVdiWeQc</v>
      </c>
      <c r="AO55" s="2"/>
      <c r="AP55" s="3"/>
      <c r="AQ55" s="3"/>
      <c r="AR55" s="3"/>
      <c r="AS55" s="3"/>
    </row>
    <row r="56" spans="1:45" ht="15">
      <c r="A56" s="66" t="s">
        <v>271</v>
      </c>
      <c r="B56" s="67"/>
      <c r="C56" s="67"/>
      <c r="D56" s="68"/>
      <c r="E56" s="70"/>
      <c r="F56" s="100" t="str">
        <f>HYPERLINK("https://i.ytimg.com/vi/z5y2BMxrAqw/default.jpg")</f>
        <v>https://i.ytimg.com/vi/z5y2BMxrAqw/default.jpg</v>
      </c>
      <c r="G56" s="67"/>
      <c r="H56" s="71"/>
      <c r="I56" s="72"/>
      <c r="J56" s="72"/>
      <c r="K56" s="71" t="s">
        <v>1299</v>
      </c>
      <c r="L56" s="75"/>
      <c r="M56" s="76">
        <v>6850.85302734375</v>
      </c>
      <c r="N56" s="76">
        <v>8586.8623046875</v>
      </c>
      <c r="O56" s="77"/>
      <c r="P56" s="78"/>
      <c r="Q56" s="78"/>
      <c r="R56" s="82"/>
      <c r="S56" s="82"/>
      <c r="T56" s="82"/>
      <c r="U56" s="82"/>
      <c r="V56" s="52"/>
      <c r="W56" s="52"/>
      <c r="X56" s="52"/>
      <c r="Y56" s="52"/>
      <c r="Z56" s="51"/>
      <c r="AA56" s="73">
        <v>56</v>
      </c>
      <c r="AB56" s="73"/>
      <c r="AC56" s="74"/>
      <c r="AD56" s="80" t="s">
        <v>1299</v>
      </c>
      <c r="AE56" s="80" t="s">
        <v>2333</v>
      </c>
      <c r="AF56" s="80" t="s">
        <v>3181</v>
      </c>
      <c r="AG56" s="80" t="s">
        <v>3871</v>
      </c>
      <c r="AH56" s="80" t="s">
        <v>4609</v>
      </c>
      <c r="AI56" s="80">
        <v>3874761</v>
      </c>
      <c r="AJ56" s="80">
        <v>11911</v>
      </c>
      <c r="AK56" s="80">
        <v>127154</v>
      </c>
      <c r="AL56" s="80">
        <v>3105</v>
      </c>
      <c r="AM56" s="80" t="s">
        <v>5614</v>
      </c>
      <c r="AN56" s="102" t="str">
        <f>HYPERLINK("https://www.youtube.com/watch?v=z5y2BMxrAqw")</f>
        <v>https://www.youtube.com/watch?v=z5y2BMxrAqw</v>
      </c>
      <c r="AO56" s="2"/>
      <c r="AP56" s="3"/>
      <c r="AQ56" s="3"/>
      <c r="AR56" s="3"/>
      <c r="AS56" s="3"/>
    </row>
    <row r="57" spans="1:45" ht="15">
      <c r="A57" s="66" t="s">
        <v>183</v>
      </c>
      <c r="B57" s="67"/>
      <c r="C57" s="67"/>
      <c r="D57" s="68"/>
      <c r="E57" s="70"/>
      <c r="F57" s="100" t="str">
        <f>HYPERLINK("https://i.ytimg.com/vi/IIhs0ptDqsE/default.jpg")</f>
        <v>https://i.ytimg.com/vi/IIhs0ptDqsE/default.jpg</v>
      </c>
      <c r="G57" s="67"/>
      <c r="H57" s="71"/>
      <c r="I57" s="72"/>
      <c r="J57" s="72"/>
      <c r="K57" s="71" t="s">
        <v>1300</v>
      </c>
      <c r="L57" s="75"/>
      <c r="M57" s="76">
        <v>5539.00830078125</v>
      </c>
      <c r="N57" s="76">
        <v>3640.864501953125</v>
      </c>
      <c r="O57" s="77"/>
      <c r="P57" s="78"/>
      <c r="Q57" s="78"/>
      <c r="R57" s="82"/>
      <c r="S57" s="82"/>
      <c r="T57" s="82"/>
      <c r="U57" s="82"/>
      <c r="V57" s="52"/>
      <c r="W57" s="52"/>
      <c r="X57" s="52"/>
      <c r="Y57" s="52"/>
      <c r="Z57" s="51"/>
      <c r="AA57" s="73">
        <v>57</v>
      </c>
      <c r="AB57" s="73"/>
      <c r="AC57" s="74"/>
      <c r="AD57" s="80" t="s">
        <v>1300</v>
      </c>
      <c r="AE57" s="80" t="s">
        <v>2334</v>
      </c>
      <c r="AF57" s="80"/>
      <c r="AG57" s="80" t="s">
        <v>3909</v>
      </c>
      <c r="AH57" s="80" t="s">
        <v>4610</v>
      </c>
      <c r="AI57" s="80">
        <v>6</v>
      </c>
      <c r="AJ57" s="80">
        <v>0</v>
      </c>
      <c r="AK57" s="80">
        <v>1</v>
      </c>
      <c r="AL57" s="80">
        <v>0</v>
      </c>
      <c r="AM57" s="80" t="s">
        <v>5614</v>
      </c>
      <c r="AN57" s="102" t="str">
        <f>HYPERLINK("https://www.youtube.com/watch?v=IIhs0ptDqsE")</f>
        <v>https://www.youtube.com/watch?v=IIhs0ptDqsE</v>
      </c>
      <c r="AO57" s="2"/>
      <c r="AP57" s="3"/>
      <c r="AQ57" s="3"/>
      <c r="AR57" s="3"/>
      <c r="AS57" s="3"/>
    </row>
    <row r="58" spans="1:45" ht="15">
      <c r="A58" s="66" t="s">
        <v>273</v>
      </c>
      <c r="B58" s="67"/>
      <c r="C58" s="67"/>
      <c r="D58" s="68"/>
      <c r="E58" s="70"/>
      <c r="F58" s="100" t="str">
        <f>HYPERLINK("https://i.ytimg.com/vi/hHAIu_qHj20/default.jpg")</f>
        <v>https://i.ytimg.com/vi/hHAIu_qHj20/default.jpg</v>
      </c>
      <c r="G58" s="67"/>
      <c r="H58" s="71"/>
      <c r="I58" s="72"/>
      <c r="J58" s="72"/>
      <c r="K58" s="71" t="s">
        <v>1301</v>
      </c>
      <c r="L58" s="75"/>
      <c r="M58" s="76">
        <v>4718.01123046875</v>
      </c>
      <c r="N58" s="76">
        <v>556.9977416992188</v>
      </c>
      <c r="O58" s="77"/>
      <c r="P58" s="78"/>
      <c r="Q58" s="78"/>
      <c r="R58" s="82"/>
      <c r="S58" s="82"/>
      <c r="T58" s="82"/>
      <c r="U58" s="82"/>
      <c r="V58" s="52"/>
      <c r="W58" s="52"/>
      <c r="X58" s="52"/>
      <c r="Y58" s="52"/>
      <c r="Z58" s="51"/>
      <c r="AA58" s="73">
        <v>58</v>
      </c>
      <c r="AB58" s="73"/>
      <c r="AC58" s="74"/>
      <c r="AD58" s="80" t="s">
        <v>1301</v>
      </c>
      <c r="AE58" s="80" t="s">
        <v>2335</v>
      </c>
      <c r="AF58" s="80" t="s">
        <v>3218</v>
      </c>
      <c r="AG58" s="80" t="s">
        <v>3910</v>
      </c>
      <c r="AH58" s="80" t="s">
        <v>4611</v>
      </c>
      <c r="AI58" s="80">
        <v>1841</v>
      </c>
      <c r="AJ58" s="80">
        <v>2</v>
      </c>
      <c r="AK58" s="80">
        <v>0</v>
      </c>
      <c r="AL58" s="80">
        <v>0</v>
      </c>
      <c r="AM58" s="80" t="s">
        <v>5614</v>
      </c>
      <c r="AN58" s="102" t="str">
        <f>HYPERLINK("https://www.youtube.com/watch?v=hHAIu_qHj20")</f>
        <v>https://www.youtube.com/watch?v=hHAIu_qHj20</v>
      </c>
      <c r="AO58" s="2"/>
      <c r="AP58" s="3"/>
      <c r="AQ58" s="3"/>
      <c r="AR58" s="3"/>
      <c r="AS58" s="3"/>
    </row>
    <row r="59" spans="1:45" ht="15">
      <c r="A59" s="66" t="s">
        <v>274</v>
      </c>
      <c r="B59" s="67"/>
      <c r="C59" s="67"/>
      <c r="D59" s="68"/>
      <c r="E59" s="70"/>
      <c r="F59" s="100" t="str">
        <f>HYPERLINK("https://i.ytimg.com/vi/yQ_2grLk64Y/default.jpg")</f>
        <v>https://i.ytimg.com/vi/yQ_2grLk64Y/default.jpg</v>
      </c>
      <c r="G59" s="67"/>
      <c r="H59" s="71"/>
      <c r="I59" s="72"/>
      <c r="J59" s="72"/>
      <c r="K59" s="71" t="s">
        <v>1302</v>
      </c>
      <c r="L59" s="75"/>
      <c r="M59" s="76">
        <v>4714.61474609375</v>
      </c>
      <c r="N59" s="76">
        <v>560.5704956054688</v>
      </c>
      <c r="O59" s="77"/>
      <c r="P59" s="78"/>
      <c r="Q59" s="78"/>
      <c r="R59" s="82"/>
      <c r="S59" s="82"/>
      <c r="T59" s="82"/>
      <c r="U59" s="82"/>
      <c r="V59" s="52"/>
      <c r="W59" s="52"/>
      <c r="X59" s="52"/>
      <c r="Y59" s="52"/>
      <c r="Z59" s="51"/>
      <c r="AA59" s="73">
        <v>59</v>
      </c>
      <c r="AB59" s="73"/>
      <c r="AC59" s="74"/>
      <c r="AD59" s="80" t="s">
        <v>1302</v>
      </c>
      <c r="AE59" s="80" t="s">
        <v>2336</v>
      </c>
      <c r="AF59" s="80"/>
      <c r="AG59" s="80" t="s">
        <v>3911</v>
      </c>
      <c r="AH59" s="80" t="s">
        <v>4612</v>
      </c>
      <c r="AI59" s="80">
        <v>101062</v>
      </c>
      <c r="AJ59" s="80">
        <v>0</v>
      </c>
      <c r="AK59" s="80">
        <v>395</v>
      </c>
      <c r="AL59" s="80">
        <v>46</v>
      </c>
      <c r="AM59" s="80" t="s">
        <v>5614</v>
      </c>
      <c r="AN59" s="102" t="str">
        <f>HYPERLINK("https://www.youtube.com/watch?v=yQ_2grLk64Y")</f>
        <v>https://www.youtube.com/watch?v=yQ_2grLk64Y</v>
      </c>
      <c r="AO59" s="2"/>
      <c r="AP59" s="3"/>
      <c r="AQ59" s="3"/>
      <c r="AR59" s="3"/>
      <c r="AS59" s="3"/>
    </row>
    <row r="60" spans="1:45" ht="15">
      <c r="A60" s="66" t="s">
        <v>275</v>
      </c>
      <c r="B60" s="67"/>
      <c r="C60" s="67"/>
      <c r="D60" s="68"/>
      <c r="E60" s="70"/>
      <c r="F60" s="100" t="str">
        <f>HYPERLINK("https://i.ytimg.com/vi/MyEQ_X_aCss/default.jpg")</f>
        <v>https://i.ytimg.com/vi/MyEQ_X_aCss/default.jpg</v>
      </c>
      <c r="G60" s="67"/>
      <c r="H60" s="71"/>
      <c r="I60" s="72"/>
      <c r="J60" s="72"/>
      <c r="K60" s="71" t="s">
        <v>1303</v>
      </c>
      <c r="L60" s="75"/>
      <c r="M60" s="76">
        <v>4607.23681640625</v>
      </c>
      <c r="N60" s="76">
        <v>636.01171875</v>
      </c>
      <c r="O60" s="77"/>
      <c r="P60" s="78"/>
      <c r="Q60" s="78"/>
      <c r="R60" s="82"/>
      <c r="S60" s="82"/>
      <c r="T60" s="82"/>
      <c r="U60" s="82"/>
      <c r="V60" s="52"/>
      <c r="W60" s="52"/>
      <c r="X60" s="52"/>
      <c r="Y60" s="52"/>
      <c r="Z60" s="51"/>
      <c r="AA60" s="73">
        <v>60</v>
      </c>
      <c r="AB60" s="73"/>
      <c r="AC60" s="74"/>
      <c r="AD60" s="80" t="s">
        <v>1303</v>
      </c>
      <c r="AE60" s="80" t="s">
        <v>2337</v>
      </c>
      <c r="AF60" s="80" t="s">
        <v>3219</v>
      </c>
      <c r="AG60" s="80" t="s">
        <v>3912</v>
      </c>
      <c r="AH60" s="80" t="s">
        <v>4613</v>
      </c>
      <c r="AI60" s="80">
        <v>21151</v>
      </c>
      <c r="AJ60" s="80">
        <v>0</v>
      </c>
      <c r="AK60" s="80">
        <v>96</v>
      </c>
      <c r="AL60" s="80">
        <v>13</v>
      </c>
      <c r="AM60" s="80" t="s">
        <v>5614</v>
      </c>
      <c r="AN60" s="102" t="str">
        <f>HYPERLINK("https://www.youtube.com/watch?v=MyEQ_X_aCss")</f>
        <v>https://www.youtube.com/watch?v=MyEQ_X_aCss</v>
      </c>
      <c r="AO60" s="2"/>
      <c r="AP60" s="3"/>
      <c r="AQ60" s="3"/>
      <c r="AR60" s="3"/>
      <c r="AS60" s="3"/>
    </row>
    <row r="61" spans="1:45" ht="15">
      <c r="A61" s="66" t="s">
        <v>276</v>
      </c>
      <c r="B61" s="67"/>
      <c r="C61" s="67"/>
      <c r="D61" s="68"/>
      <c r="E61" s="70"/>
      <c r="F61" s="100" t="str">
        <f>HYPERLINK("https://i.ytimg.com/vi/359CMVqVAiA/default.jpg")</f>
        <v>https://i.ytimg.com/vi/359CMVqVAiA/default.jpg</v>
      </c>
      <c r="G61" s="67"/>
      <c r="H61" s="71"/>
      <c r="I61" s="72"/>
      <c r="J61" s="72"/>
      <c r="K61" s="71" t="s">
        <v>1304</v>
      </c>
      <c r="L61" s="75"/>
      <c r="M61" s="76">
        <v>5049.6015625</v>
      </c>
      <c r="N61" s="76">
        <v>502.28350830078125</v>
      </c>
      <c r="O61" s="77"/>
      <c r="P61" s="78"/>
      <c r="Q61" s="78"/>
      <c r="R61" s="82"/>
      <c r="S61" s="82"/>
      <c r="T61" s="82"/>
      <c r="U61" s="82"/>
      <c r="V61" s="52"/>
      <c r="W61" s="52"/>
      <c r="X61" s="52"/>
      <c r="Y61" s="52"/>
      <c r="Z61" s="51"/>
      <c r="AA61" s="73">
        <v>61</v>
      </c>
      <c r="AB61" s="73"/>
      <c r="AC61" s="74"/>
      <c r="AD61" s="80" t="s">
        <v>1304</v>
      </c>
      <c r="AE61" s="80" t="s">
        <v>2338</v>
      </c>
      <c r="AF61" s="80" t="s">
        <v>3220</v>
      </c>
      <c r="AG61" s="80" t="s">
        <v>3913</v>
      </c>
      <c r="AH61" s="80" t="s">
        <v>4614</v>
      </c>
      <c r="AI61" s="80">
        <v>5226</v>
      </c>
      <c r="AJ61" s="80">
        <v>0</v>
      </c>
      <c r="AK61" s="80">
        <v>9</v>
      </c>
      <c r="AL61" s="80">
        <v>1</v>
      </c>
      <c r="AM61" s="80" t="s">
        <v>5614</v>
      </c>
      <c r="AN61" s="102" t="str">
        <f>HYPERLINK("https://www.youtube.com/watch?v=359CMVqVAiA")</f>
        <v>https://www.youtube.com/watch?v=359CMVqVAiA</v>
      </c>
      <c r="AO61" s="2"/>
      <c r="AP61" s="3"/>
      <c r="AQ61" s="3"/>
      <c r="AR61" s="3"/>
      <c r="AS61" s="3"/>
    </row>
    <row r="62" spans="1:45" ht="15">
      <c r="A62" s="66" t="s">
        <v>277</v>
      </c>
      <c r="B62" s="67"/>
      <c r="C62" s="67"/>
      <c r="D62" s="68"/>
      <c r="E62" s="70"/>
      <c r="F62" s="100" t="str">
        <f>HYPERLINK("https://i.ytimg.com/vi/7wRlzBc7SPM/default.jpg")</f>
        <v>https://i.ytimg.com/vi/7wRlzBc7SPM/default.jpg</v>
      </c>
      <c r="G62" s="67"/>
      <c r="H62" s="71"/>
      <c r="I62" s="72"/>
      <c r="J62" s="72"/>
      <c r="K62" s="71" t="s">
        <v>1305</v>
      </c>
      <c r="L62" s="75"/>
      <c r="M62" s="76">
        <v>4011.046142578125</v>
      </c>
      <c r="N62" s="76">
        <v>2380.04736328125</v>
      </c>
      <c r="O62" s="77"/>
      <c r="P62" s="78"/>
      <c r="Q62" s="78"/>
      <c r="R62" s="82"/>
      <c r="S62" s="82"/>
      <c r="T62" s="82"/>
      <c r="U62" s="82"/>
      <c r="V62" s="52"/>
      <c r="W62" s="52"/>
      <c r="X62" s="52"/>
      <c r="Y62" s="52"/>
      <c r="Z62" s="51"/>
      <c r="AA62" s="73">
        <v>62</v>
      </c>
      <c r="AB62" s="73"/>
      <c r="AC62" s="74"/>
      <c r="AD62" s="80" t="s">
        <v>1305</v>
      </c>
      <c r="AE62" s="80" t="s">
        <v>2339</v>
      </c>
      <c r="AF62" s="80" t="s">
        <v>3221</v>
      </c>
      <c r="AG62" s="80" t="s">
        <v>3913</v>
      </c>
      <c r="AH62" s="80" t="s">
        <v>4615</v>
      </c>
      <c r="AI62" s="80">
        <v>6262</v>
      </c>
      <c r="AJ62" s="80">
        <v>0</v>
      </c>
      <c r="AK62" s="80">
        <v>27</v>
      </c>
      <c r="AL62" s="80">
        <v>1</v>
      </c>
      <c r="AM62" s="80" t="s">
        <v>5614</v>
      </c>
      <c r="AN62" s="102" t="str">
        <f>HYPERLINK("https://www.youtube.com/watch?v=7wRlzBc7SPM")</f>
        <v>https://www.youtube.com/watch?v=7wRlzBc7SPM</v>
      </c>
      <c r="AO62" s="2"/>
      <c r="AP62" s="3"/>
      <c r="AQ62" s="3"/>
      <c r="AR62" s="3"/>
      <c r="AS62" s="3"/>
    </row>
    <row r="63" spans="1:45" ht="15">
      <c r="A63" s="66" t="s">
        <v>278</v>
      </c>
      <c r="B63" s="67"/>
      <c r="C63" s="67"/>
      <c r="D63" s="68"/>
      <c r="E63" s="70"/>
      <c r="F63" s="100" t="str">
        <f>HYPERLINK("https://i.ytimg.com/vi/rXaoyIUeIYI/default.jpg")</f>
        <v>https://i.ytimg.com/vi/rXaoyIUeIYI/default.jpg</v>
      </c>
      <c r="G63" s="67"/>
      <c r="H63" s="71"/>
      <c r="I63" s="72"/>
      <c r="J63" s="72"/>
      <c r="K63" s="71" t="s">
        <v>1306</v>
      </c>
      <c r="L63" s="75"/>
      <c r="M63" s="76">
        <v>4928.5859375</v>
      </c>
      <c r="N63" s="76">
        <v>518.2265014648438</v>
      </c>
      <c r="O63" s="77"/>
      <c r="P63" s="78"/>
      <c r="Q63" s="78"/>
      <c r="R63" s="82"/>
      <c r="S63" s="82"/>
      <c r="T63" s="82"/>
      <c r="U63" s="82"/>
      <c r="V63" s="52"/>
      <c r="W63" s="52"/>
      <c r="X63" s="52"/>
      <c r="Y63" s="52"/>
      <c r="Z63" s="51"/>
      <c r="AA63" s="73">
        <v>63</v>
      </c>
      <c r="AB63" s="73"/>
      <c r="AC63" s="74"/>
      <c r="AD63" s="80" t="s">
        <v>1306</v>
      </c>
      <c r="AE63" s="80" t="s">
        <v>2340</v>
      </c>
      <c r="AF63" s="80" t="s">
        <v>3222</v>
      </c>
      <c r="AG63" s="80" t="s">
        <v>3914</v>
      </c>
      <c r="AH63" s="80" t="s">
        <v>4616</v>
      </c>
      <c r="AI63" s="80">
        <v>376117</v>
      </c>
      <c r="AJ63" s="80">
        <v>69</v>
      </c>
      <c r="AK63" s="80">
        <v>550</v>
      </c>
      <c r="AL63" s="80">
        <v>111</v>
      </c>
      <c r="AM63" s="80" t="s">
        <v>5614</v>
      </c>
      <c r="AN63" s="102" t="str">
        <f>HYPERLINK("https://www.youtube.com/watch?v=rXaoyIUeIYI")</f>
        <v>https://www.youtube.com/watch?v=rXaoyIUeIYI</v>
      </c>
      <c r="AO63" s="2"/>
      <c r="AP63" s="3"/>
      <c r="AQ63" s="3"/>
      <c r="AR63" s="3"/>
      <c r="AS63" s="3"/>
    </row>
    <row r="64" spans="1:45" ht="15">
      <c r="A64" s="66" t="s">
        <v>279</v>
      </c>
      <c r="B64" s="67"/>
      <c r="C64" s="67"/>
      <c r="D64" s="68"/>
      <c r="E64" s="70"/>
      <c r="F64" s="100" t="str">
        <f>HYPERLINK("https://i.ytimg.com/vi/9QeTJIZHrV8/default.jpg")</f>
        <v>https://i.ytimg.com/vi/9QeTJIZHrV8/default.jpg</v>
      </c>
      <c r="G64" s="67"/>
      <c r="H64" s="71"/>
      <c r="I64" s="72"/>
      <c r="J64" s="72"/>
      <c r="K64" s="71" t="s">
        <v>1307</v>
      </c>
      <c r="L64" s="75"/>
      <c r="M64" s="76">
        <v>7968.6494140625</v>
      </c>
      <c r="N64" s="76">
        <v>1366.5718994140625</v>
      </c>
      <c r="O64" s="77"/>
      <c r="P64" s="78"/>
      <c r="Q64" s="78"/>
      <c r="R64" s="82"/>
      <c r="S64" s="82"/>
      <c r="T64" s="82"/>
      <c r="U64" s="82"/>
      <c r="V64" s="52"/>
      <c r="W64" s="52"/>
      <c r="X64" s="52"/>
      <c r="Y64" s="52"/>
      <c r="Z64" s="51"/>
      <c r="AA64" s="73">
        <v>64</v>
      </c>
      <c r="AB64" s="73"/>
      <c r="AC64" s="74"/>
      <c r="AD64" s="80" t="s">
        <v>1307</v>
      </c>
      <c r="AE64" s="80" t="s">
        <v>2341</v>
      </c>
      <c r="AF64" s="80" t="s">
        <v>3223</v>
      </c>
      <c r="AG64" s="80" t="s">
        <v>3915</v>
      </c>
      <c r="AH64" s="80" t="s">
        <v>4617</v>
      </c>
      <c r="AI64" s="80">
        <v>105508</v>
      </c>
      <c r="AJ64" s="80">
        <v>36</v>
      </c>
      <c r="AK64" s="80">
        <v>1506</v>
      </c>
      <c r="AL64" s="80">
        <v>60</v>
      </c>
      <c r="AM64" s="80" t="s">
        <v>5614</v>
      </c>
      <c r="AN64" s="102" t="str">
        <f>HYPERLINK("https://www.youtube.com/watch?v=9QeTJIZHrV8")</f>
        <v>https://www.youtube.com/watch?v=9QeTJIZHrV8</v>
      </c>
      <c r="AO64" s="2"/>
      <c r="AP64" s="3"/>
      <c r="AQ64" s="3"/>
      <c r="AR64" s="3"/>
      <c r="AS64" s="3"/>
    </row>
    <row r="65" spans="1:45" ht="15">
      <c r="A65" s="66" t="s">
        <v>280</v>
      </c>
      <c r="B65" s="67"/>
      <c r="C65" s="67"/>
      <c r="D65" s="68"/>
      <c r="E65" s="70"/>
      <c r="F65" s="100" t="str">
        <f>HYPERLINK("https://i.ytimg.com/vi/j42Z5dmBbdY/default.jpg")</f>
        <v>https://i.ytimg.com/vi/j42Z5dmBbdY/default.jpg</v>
      </c>
      <c r="G65" s="67"/>
      <c r="H65" s="71"/>
      <c r="I65" s="72"/>
      <c r="J65" s="72"/>
      <c r="K65" s="71" t="s">
        <v>1308</v>
      </c>
      <c r="L65" s="75"/>
      <c r="M65" s="76">
        <v>4745.9736328125</v>
      </c>
      <c r="N65" s="76">
        <v>604.5911254882812</v>
      </c>
      <c r="O65" s="77"/>
      <c r="P65" s="78"/>
      <c r="Q65" s="78"/>
      <c r="R65" s="82"/>
      <c r="S65" s="82"/>
      <c r="T65" s="82"/>
      <c r="U65" s="82"/>
      <c r="V65" s="52"/>
      <c r="W65" s="52"/>
      <c r="X65" s="52"/>
      <c r="Y65" s="52"/>
      <c r="Z65" s="51"/>
      <c r="AA65" s="73">
        <v>65</v>
      </c>
      <c r="AB65" s="73"/>
      <c r="AC65" s="74"/>
      <c r="AD65" s="80" t="s">
        <v>1308</v>
      </c>
      <c r="AE65" s="80" t="s">
        <v>2342</v>
      </c>
      <c r="AF65" s="80" t="s">
        <v>3224</v>
      </c>
      <c r="AG65" s="80" t="s">
        <v>3916</v>
      </c>
      <c r="AH65" s="80" t="s">
        <v>4618</v>
      </c>
      <c r="AI65" s="80">
        <v>155861</v>
      </c>
      <c r="AJ65" s="80">
        <v>14</v>
      </c>
      <c r="AK65" s="80">
        <v>1555</v>
      </c>
      <c r="AL65" s="80">
        <v>94</v>
      </c>
      <c r="AM65" s="80" t="s">
        <v>5614</v>
      </c>
      <c r="AN65" s="102" t="str">
        <f>HYPERLINK("https://www.youtube.com/watch?v=j42Z5dmBbdY")</f>
        <v>https://www.youtube.com/watch?v=j42Z5dmBbdY</v>
      </c>
      <c r="AO65" s="2"/>
      <c r="AP65" s="3"/>
      <c r="AQ65" s="3"/>
      <c r="AR65" s="3"/>
      <c r="AS65" s="3"/>
    </row>
    <row r="66" spans="1:45" ht="15">
      <c r="A66" s="66" t="s">
        <v>281</v>
      </c>
      <c r="B66" s="67"/>
      <c r="C66" s="67"/>
      <c r="D66" s="68"/>
      <c r="E66" s="70"/>
      <c r="F66" s="100" t="str">
        <f>HYPERLINK("https://i.ytimg.com/vi/MyrXW4XHI1c/default.jpg")</f>
        <v>https://i.ytimg.com/vi/MyrXW4XHI1c/default.jpg</v>
      </c>
      <c r="G66" s="67"/>
      <c r="H66" s="71"/>
      <c r="I66" s="72"/>
      <c r="J66" s="72"/>
      <c r="K66" s="71" t="s">
        <v>1309</v>
      </c>
      <c r="L66" s="75"/>
      <c r="M66" s="76">
        <v>1969.30126953125</v>
      </c>
      <c r="N66" s="76">
        <v>2935.22021484375</v>
      </c>
      <c r="O66" s="77"/>
      <c r="P66" s="78"/>
      <c r="Q66" s="78"/>
      <c r="R66" s="82"/>
      <c r="S66" s="82"/>
      <c r="T66" s="82"/>
      <c r="U66" s="82"/>
      <c r="V66" s="52"/>
      <c r="W66" s="52"/>
      <c r="X66" s="52"/>
      <c r="Y66" s="52"/>
      <c r="Z66" s="51"/>
      <c r="AA66" s="73">
        <v>66</v>
      </c>
      <c r="AB66" s="73"/>
      <c r="AC66" s="74"/>
      <c r="AD66" s="80" t="s">
        <v>1309</v>
      </c>
      <c r="AE66" s="80" t="s">
        <v>2343</v>
      </c>
      <c r="AF66" s="80" t="s">
        <v>3225</v>
      </c>
      <c r="AG66" s="80" t="s">
        <v>3917</v>
      </c>
      <c r="AH66" s="80" t="s">
        <v>4619</v>
      </c>
      <c r="AI66" s="80">
        <v>6575</v>
      </c>
      <c r="AJ66" s="80">
        <v>0</v>
      </c>
      <c r="AK66" s="80">
        <v>46</v>
      </c>
      <c r="AL66" s="80">
        <v>0</v>
      </c>
      <c r="AM66" s="80" t="s">
        <v>5614</v>
      </c>
      <c r="AN66" s="102" t="str">
        <f>HYPERLINK("https://www.youtube.com/watch?v=MyrXW4XHI1c")</f>
        <v>https://www.youtube.com/watch?v=MyrXW4XHI1c</v>
      </c>
      <c r="AO66" s="2"/>
      <c r="AP66" s="3"/>
      <c r="AQ66" s="3"/>
      <c r="AR66" s="3"/>
      <c r="AS66" s="3"/>
    </row>
    <row r="67" spans="1:45" ht="15">
      <c r="A67" s="66" t="s">
        <v>282</v>
      </c>
      <c r="B67" s="67"/>
      <c r="C67" s="67"/>
      <c r="D67" s="68"/>
      <c r="E67" s="70"/>
      <c r="F67" s="100" t="str">
        <f>HYPERLINK("https://i.ytimg.com/vi/rW3f_Y7v3gY/default.jpg")</f>
        <v>https://i.ytimg.com/vi/rW3f_Y7v3gY/default.jpg</v>
      </c>
      <c r="G67" s="67"/>
      <c r="H67" s="71"/>
      <c r="I67" s="72"/>
      <c r="J67" s="72"/>
      <c r="K67" s="71" t="s">
        <v>1310</v>
      </c>
      <c r="L67" s="75"/>
      <c r="M67" s="76">
        <v>7733.8427734375</v>
      </c>
      <c r="N67" s="76">
        <v>6384.9404296875</v>
      </c>
      <c r="O67" s="77"/>
      <c r="P67" s="78"/>
      <c r="Q67" s="78"/>
      <c r="R67" s="82"/>
      <c r="S67" s="82"/>
      <c r="T67" s="82"/>
      <c r="U67" s="82"/>
      <c r="V67" s="52"/>
      <c r="W67" s="52"/>
      <c r="X67" s="52"/>
      <c r="Y67" s="52"/>
      <c r="Z67" s="51"/>
      <c r="AA67" s="73">
        <v>67</v>
      </c>
      <c r="AB67" s="73"/>
      <c r="AC67" s="74"/>
      <c r="AD67" s="80" t="s">
        <v>1310</v>
      </c>
      <c r="AE67" s="80" t="s">
        <v>2344</v>
      </c>
      <c r="AF67" s="80" t="s">
        <v>3226</v>
      </c>
      <c r="AG67" s="80" t="s">
        <v>3918</v>
      </c>
      <c r="AH67" s="80" t="s">
        <v>4620</v>
      </c>
      <c r="AI67" s="80">
        <v>18572398</v>
      </c>
      <c r="AJ67" s="80">
        <v>12891</v>
      </c>
      <c r="AK67" s="80">
        <v>236367</v>
      </c>
      <c r="AL67" s="80">
        <v>22522</v>
      </c>
      <c r="AM67" s="80" t="s">
        <v>5614</v>
      </c>
      <c r="AN67" s="102" t="str">
        <f>HYPERLINK("https://www.youtube.com/watch?v=rW3f_Y7v3gY")</f>
        <v>https://www.youtube.com/watch?v=rW3f_Y7v3gY</v>
      </c>
      <c r="AO67" s="2"/>
      <c r="AP67" s="3"/>
      <c r="AQ67" s="3"/>
      <c r="AR67" s="3"/>
      <c r="AS67" s="3"/>
    </row>
    <row r="68" spans="1:45" ht="15">
      <c r="A68" s="66" t="s">
        <v>283</v>
      </c>
      <c r="B68" s="67"/>
      <c r="C68" s="67"/>
      <c r="D68" s="68"/>
      <c r="E68" s="70"/>
      <c r="F68" s="100" t="str">
        <f>HYPERLINK("https://i.ytimg.com/vi/PEylnykeRwA/default.jpg")</f>
        <v>https://i.ytimg.com/vi/PEylnykeRwA/default.jpg</v>
      </c>
      <c r="G68" s="67"/>
      <c r="H68" s="71"/>
      <c r="I68" s="72"/>
      <c r="J68" s="72"/>
      <c r="K68" s="71" t="s">
        <v>1311</v>
      </c>
      <c r="L68" s="75"/>
      <c r="M68" s="76">
        <v>4762.70556640625</v>
      </c>
      <c r="N68" s="76">
        <v>606.555908203125</v>
      </c>
      <c r="O68" s="77"/>
      <c r="P68" s="78"/>
      <c r="Q68" s="78"/>
      <c r="R68" s="82"/>
      <c r="S68" s="82"/>
      <c r="T68" s="82"/>
      <c r="U68" s="82"/>
      <c r="V68" s="52"/>
      <c r="W68" s="52"/>
      <c r="X68" s="52"/>
      <c r="Y68" s="52"/>
      <c r="Z68" s="51"/>
      <c r="AA68" s="73">
        <v>68</v>
      </c>
      <c r="AB68" s="73"/>
      <c r="AC68" s="74"/>
      <c r="AD68" s="80" t="s">
        <v>1311</v>
      </c>
      <c r="AE68" s="80" t="s">
        <v>2345</v>
      </c>
      <c r="AF68" s="80" t="s">
        <v>3227</v>
      </c>
      <c r="AG68" s="80" t="s">
        <v>3919</v>
      </c>
      <c r="AH68" s="80" t="s">
        <v>4621</v>
      </c>
      <c r="AI68" s="80">
        <v>34131</v>
      </c>
      <c r="AJ68" s="80">
        <v>11</v>
      </c>
      <c r="AK68" s="80">
        <v>333</v>
      </c>
      <c r="AL68" s="80">
        <v>12</v>
      </c>
      <c r="AM68" s="80" t="s">
        <v>5614</v>
      </c>
      <c r="AN68" s="102" t="str">
        <f>HYPERLINK("https://www.youtube.com/watch?v=PEylnykeRwA")</f>
        <v>https://www.youtube.com/watch?v=PEylnykeRwA</v>
      </c>
      <c r="AO68" s="2"/>
      <c r="AP68" s="3"/>
      <c r="AQ68" s="3"/>
      <c r="AR68" s="3"/>
      <c r="AS68" s="3"/>
    </row>
    <row r="69" spans="1:45" ht="15">
      <c r="A69" s="66" t="s">
        <v>284</v>
      </c>
      <c r="B69" s="67"/>
      <c r="C69" s="67"/>
      <c r="D69" s="68"/>
      <c r="E69" s="70"/>
      <c r="F69" s="100" t="str">
        <f>HYPERLINK("https://i.ytimg.com/vi/oOIYlqIEe14/default.jpg")</f>
        <v>https://i.ytimg.com/vi/oOIYlqIEe14/default.jpg</v>
      </c>
      <c r="G69" s="67"/>
      <c r="H69" s="71"/>
      <c r="I69" s="72"/>
      <c r="J69" s="72"/>
      <c r="K69" s="71" t="s">
        <v>1312</v>
      </c>
      <c r="L69" s="75"/>
      <c r="M69" s="76">
        <v>4688.68310546875</v>
      </c>
      <c r="N69" s="76">
        <v>4462.6181640625</v>
      </c>
      <c r="O69" s="77"/>
      <c r="P69" s="78"/>
      <c r="Q69" s="78"/>
      <c r="R69" s="82"/>
      <c r="S69" s="82"/>
      <c r="T69" s="82"/>
      <c r="U69" s="82"/>
      <c r="V69" s="52"/>
      <c r="W69" s="52"/>
      <c r="X69" s="52"/>
      <c r="Y69" s="52"/>
      <c r="Z69" s="51"/>
      <c r="AA69" s="73">
        <v>69</v>
      </c>
      <c r="AB69" s="73"/>
      <c r="AC69" s="74"/>
      <c r="AD69" s="80" t="s">
        <v>1312</v>
      </c>
      <c r="AE69" s="80" t="s">
        <v>2346</v>
      </c>
      <c r="AF69" s="80" t="s">
        <v>3228</v>
      </c>
      <c r="AG69" s="80" t="s">
        <v>3913</v>
      </c>
      <c r="AH69" s="80" t="s">
        <v>4622</v>
      </c>
      <c r="AI69" s="80">
        <v>10878</v>
      </c>
      <c r="AJ69" s="80">
        <v>0</v>
      </c>
      <c r="AK69" s="80">
        <v>27</v>
      </c>
      <c r="AL69" s="80">
        <v>3</v>
      </c>
      <c r="AM69" s="80" t="s">
        <v>5614</v>
      </c>
      <c r="AN69" s="102" t="str">
        <f>HYPERLINK("https://www.youtube.com/watch?v=oOIYlqIEe14")</f>
        <v>https://www.youtube.com/watch?v=oOIYlqIEe14</v>
      </c>
      <c r="AO69" s="2"/>
      <c r="AP69" s="3"/>
      <c r="AQ69" s="3"/>
      <c r="AR69" s="3"/>
      <c r="AS69" s="3"/>
    </row>
    <row r="70" spans="1:45" ht="15">
      <c r="A70" s="66" t="s">
        <v>285</v>
      </c>
      <c r="B70" s="67"/>
      <c r="C70" s="67"/>
      <c r="D70" s="68"/>
      <c r="E70" s="70"/>
      <c r="F70" s="100" t="str">
        <f>HYPERLINK("https://i.ytimg.com/vi/UF7I64LBk2A/default.jpg")</f>
        <v>https://i.ytimg.com/vi/UF7I64LBk2A/default.jpg</v>
      </c>
      <c r="G70" s="67"/>
      <c r="H70" s="71"/>
      <c r="I70" s="72"/>
      <c r="J70" s="72"/>
      <c r="K70" s="71" t="s">
        <v>1313</v>
      </c>
      <c r="L70" s="75"/>
      <c r="M70" s="76">
        <v>3606.2646484375</v>
      </c>
      <c r="N70" s="76">
        <v>5241.232421875</v>
      </c>
      <c r="O70" s="77"/>
      <c r="P70" s="78"/>
      <c r="Q70" s="78"/>
      <c r="R70" s="82"/>
      <c r="S70" s="82"/>
      <c r="T70" s="82"/>
      <c r="U70" s="82"/>
      <c r="V70" s="52"/>
      <c r="W70" s="52"/>
      <c r="X70" s="52"/>
      <c r="Y70" s="52"/>
      <c r="Z70" s="51"/>
      <c r="AA70" s="73">
        <v>70</v>
      </c>
      <c r="AB70" s="73"/>
      <c r="AC70" s="74"/>
      <c r="AD70" s="80" t="s">
        <v>1313</v>
      </c>
      <c r="AE70" s="80" t="s">
        <v>2347</v>
      </c>
      <c r="AF70" s="80" t="s">
        <v>3229</v>
      </c>
      <c r="AG70" s="80" t="s">
        <v>3913</v>
      </c>
      <c r="AH70" s="80" t="s">
        <v>4623</v>
      </c>
      <c r="AI70" s="80">
        <v>13057</v>
      </c>
      <c r="AJ70" s="80">
        <v>0</v>
      </c>
      <c r="AK70" s="80">
        <v>28</v>
      </c>
      <c r="AL70" s="80">
        <v>2</v>
      </c>
      <c r="AM70" s="80" t="s">
        <v>5614</v>
      </c>
      <c r="AN70" s="102" t="str">
        <f>HYPERLINK("https://www.youtube.com/watch?v=UF7I64LBk2A")</f>
        <v>https://www.youtube.com/watch?v=UF7I64LBk2A</v>
      </c>
      <c r="AO70" s="2"/>
      <c r="AP70" s="3"/>
      <c r="AQ70" s="3"/>
      <c r="AR70" s="3"/>
      <c r="AS70" s="3"/>
    </row>
    <row r="71" spans="1:45" ht="15">
      <c r="A71" s="66" t="s">
        <v>286</v>
      </c>
      <c r="B71" s="67"/>
      <c r="C71" s="67"/>
      <c r="D71" s="68"/>
      <c r="E71" s="70"/>
      <c r="F71" s="100" t="str">
        <f>HYPERLINK("https://i.ytimg.com/vi/hv70NDaCr3g/default.jpg")</f>
        <v>https://i.ytimg.com/vi/hv70NDaCr3g/default.jpg</v>
      </c>
      <c r="G71" s="67"/>
      <c r="H71" s="71"/>
      <c r="I71" s="72"/>
      <c r="J71" s="72"/>
      <c r="K71" s="71" t="s">
        <v>1314</v>
      </c>
      <c r="L71" s="75"/>
      <c r="M71" s="76">
        <v>4965.9873046875</v>
      </c>
      <c r="N71" s="76">
        <v>3805.464599609375</v>
      </c>
      <c r="O71" s="77"/>
      <c r="P71" s="78"/>
      <c r="Q71" s="78"/>
      <c r="R71" s="82"/>
      <c r="S71" s="82"/>
      <c r="T71" s="82"/>
      <c r="U71" s="82"/>
      <c r="V71" s="52"/>
      <c r="W71" s="52"/>
      <c r="X71" s="52"/>
      <c r="Y71" s="52"/>
      <c r="Z71" s="51"/>
      <c r="AA71" s="73">
        <v>71</v>
      </c>
      <c r="AB71" s="73"/>
      <c r="AC71" s="74"/>
      <c r="AD71" s="80" t="s">
        <v>1314</v>
      </c>
      <c r="AE71" s="80" t="s">
        <v>2348</v>
      </c>
      <c r="AF71" s="80" t="s">
        <v>3230</v>
      </c>
      <c r="AG71" s="80" t="s">
        <v>3920</v>
      </c>
      <c r="AH71" s="80" t="s">
        <v>4624</v>
      </c>
      <c r="AI71" s="80">
        <v>1152</v>
      </c>
      <c r="AJ71" s="80">
        <v>1</v>
      </c>
      <c r="AK71" s="80">
        <v>6</v>
      </c>
      <c r="AL71" s="80">
        <v>0</v>
      </c>
      <c r="AM71" s="80" t="s">
        <v>5614</v>
      </c>
      <c r="AN71" s="102" t="str">
        <f>HYPERLINK("https://www.youtube.com/watch?v=hv70NDaCr3g")</f>
        <v>https://www.youtube.com/watch?v=hv70NDaCr3g</v>
      </c>
      <c r="AO71" s="2"/>
      <c r="AP71" s="3"/>
      <c r="AQ71" s="3"/>
      <c r="AR71" s="3"/>
      <c r="AS71" s="3"/>
    </row>
    <row r="72" spans="1:45" ht="15">
      <c r="A72" s="66" t="s">
        <v>287</v>
      </c>
      <c r="B72" s="67"/>
      <c r="C72" s="67"/>
      <c r="D72" s="68"/>
      <c r="E72" s="70"/>
      <c r="F72" s="100" t="str">
        <f>HYPERLINK("https://i.ytimg.com/vi/Xk3NI9JRGf4/default.jpg")</f>
        <v>https://i.ytimg.com/vi/Xk3NI9JRGf4/default.jpg</v>
      </c>
      <c r="G72" s="67"/>
      <c r="H72" s="71"/>
      <c r="I72" s="72"/>
      <c r="J72" s="72"/>
      <c r="K72" s="71" t="s">
        <v>1315</v>
      </c>
      <c r="L72" s="75"/>
      <c r="M72" s="76">
        <v>7178.1357421875</v>
      </c>
      <c r="N72" s="76">
        <v>4567.78662109375</v>
      </c>
      <c r="O72" s="77"/>
      <c r="P72" s="78"/>
      <c r="Q72" s="78"/>
      <c r="R72" s="82"/>
      <c r="S72" s="82"/>
      <c r="T72" s="82"/>
      <c r="U72" s="82"/>
      <c r="V72" s="52"/>
      <c r="W72" s="52"/>
      <c r="X72" s="52"/>
      <c r="Y72" s="52"/>
      <c r="Z72" s="51"/>
      <c r="AA72" s="73">
        <v>72</v>
      </c>
      <c r="AB72" s="73"/>
      <c r="AC72" s="74"/>
      <c r="AD72" s="80" t="s">
        <v>1315</v>
      </c>
      <c r="AE72" s="80" t="s">
        <v>2349</v>
      </c>
      <c r="AF72" s="80" t="s">
        <v>3231</v>
      </c>
      <c r="AG72" s="80" t="s">
        <v>3917</v>
      </c>
      <c r="AH72" s="80" t="s">
        <v>4625</v>
      </c>
      <c r="AI72" s="80">
        <v>2455</v>
      </c>
      <c r="AJ72" s="80">
        <v>2</v>
      </c>
      <c r="AK72" s="80">
        <v>15</v>
      </c>
      <c r="AL72" s="80">
        <v>0</v>
      </c>
      <c r="AM72" s="80" t="s">
        <v>5614</v>
      </c>
      <c r="AN72" s="102" t="str">
        <f>HYPERLINK("https://www.youtube.com/watch?v=Xk3NI9JRGf4")</f>
        <v>https://www.youtube.com/watch?v=Xk3NI9JRGf4</v>
      </c>
      <c r="AO72" s="2"/>
      <c r="AP72" s="3"/>
      <c r="AQ72" s="3"/>
      <c r="AR72" s="3"/>
      <c r="AS72" s="3"/>
    </row>
    <row r="73" spans="1:45" ht="15">
      <c r="A73" s="66" t="s">
        <v>288</v>
      </c>
      <c r="B73" s="67"/>
      <c r="C73" s="67"/>
      <c r="D73" s="68"/>
      <c r="E73" s="70"/>
      <c r="F73" s="100" t="str">
        <f>HYPERLINK("https://i.ytimg.com/vi/sA1VUoQ1qbc/default.jpg")</f>
        <v>https://i.ytimg.com/vi/sA1VUoQ1qbc/default.jpg</v>
      </c>
      <c r="G73" s="67"/>
      <c r="H73" s="71"/>
      <c r="I73" s="72"/>
      <c r="J73" s="72"/>
      <c r="K73" s="71" t="s">
        <v>1316</v>
      </c>
      <c r="L73" s="75"/>
      <c r="M73" s="76">
        <v>7801.3984375</v>
      </c>
      <c r="N73" s="76">
        <v>5143.01708984375</v>
      </c>
      <c r="O73" s="77"/>
      <c r="P73" s="78"/>
      <c r="Q73" s="78"/>
      <c r="R73" s="82"/>
      <c r="S73" s="82"/>
      <c r="T73" s="82"/>
      <c r="U73" s="82"/>
      <c r="V73" s="52"/>
      <c r="W73" s="52"/>
      <c r="X73" s="52"/>
      <c r="Y73" s="52"/>
      <c r="Z73" s="51"/>
      <c r="AA73" s="73">
        <v>73</v>
      </c>
      <c r="AB73" s="73"/>
      <c r="AC73" s="74"/>
      <c r="AD73" s="80" t="s">
        <v>1316</v>
      </c>
      <c r="AE73" s="80" t="s">
        <v>2350</v>
      </c>
      <c r="AF73" s="80"/>
      <c r="AG73" s="80" t="s">
        <v>3921</v>
      </c>
      <c r="AH73" s="80" t="s">
        <v>4626</v>
      </c>
      <c r="AI73" s="80">
        <v>2305</v>
      </c>
      <c r="AJ73" s="80">
        <v>0</v>
      </c>
      <c r="AK73" s="80">
        <v>20</v>
      </c>
      <c r="AL73" s="80">
        <v>1</v>
      </c>
      <c r="AM73" s="80" t="s">
        <v>5614</v>
      </c>
      <c r="AN73" s="102" t="str">
        <f>HYPERLINK("https://www.youtube.com/watch?v=sA1VUoQ1qbc")</f>
        <v>https://www.youtube.com/watch?v=sA1VUoQ1qbc</v>
      </c>
      <c r="AO73" s="2"/>
      <c r="AP73" s="3"/>
      <c r="AQ73" s="3"/>
      <c r="AR73" s="3"/>
      <c r="AS73" s="3"/>
    </row>
    <row r="74" spans="1:45" ht="15">
      <c r="A74" s="66" t="s">
        <v>289</v>
      </c>
      <c r="B74" s="67"/>
      <c r="C74" s="67"/>
      <c r="D74" s="68"/>
      <c r="E74" s="70"/>
      <c r="F74" s="100" t="str">
        <f>HYPERLINK("https://i.ytimg.com/vi/gNZLt-dF9Jk/default.jpg")</f>
        <v>https://i.ytimg.com/vi/gNZLt-dF9Jk/default.jpg</v>
      </c>
      <c r="G74" s="67"/>
      <c r="H74" s="71"/>
      <c r="I74" s="72"/>
      <c r="J74" s="72"/>
      <c r="K74" s="71" t="s">
        <v>1317</v>
      </c>
      <c r="L74" s="75"/>
      <c r="M74" s="76">
        <v>5920.0888671875</v>
      </c>
      <c r="N74" s="76">
        <v>3202.56591796875</v>
      </c>
      <c r="O74" s="77"/>
      <c r="P74" s="78"/>
      <c r="Q74" s="78"/>
      <c r="R74" s="82"/>
      <c r="S74" s="82"/>
      <c r="T74" s="82"/>
      <c r="U74" s="82"/>
      <c r="V74" s="52"/>
      <c r="W74" s="52"/>
      <c r="X74" s="52"/>
      <c r="Y74" s="52"/>
      <c r="Z74" s="51"/>
      <c r="AA74" s="73">
        <v>74</v>
      </c>
      <c r="AB74" s="73"/>
      <c r="AC74" s="74"/>
      <c r="AD74" s="80" t="s">
        <v>1317</v>
      </c>
      <c r="AE74" s="80" t="s">
        <v>2351</v>
      </c>
      <c r="AF74" s="80"/>
      <c r="AG74" s="80" t="s">
        <v>3922</v>
      </c>
      <c r="AH74" s="80" t="s">
        <v>4627</v>
      </c>
      <c r="AI74" s="80">
        <v>5668</v>
      </c>
      <c r="AJ74" s="80">
        <v>6</v>
      </c>
      <c r="AK74" s="80">
        <v>17</v>
      </c>
      <c r="AL74" s="80">
        <v>2</v>
      </c>
      <c r="AM74" s="80" t="s">
        <v>5614</v>
      </c>
      <c r="AN74" s="102" t="str">
        <f>HYPERLINK("https://www.youtube.com/watch?v=gNZLt-dF9Jk")</f>
        <v>https://www.youtube.com/watch?v=gNZLt-dF9Jk</v>
      </c>
      <c r="AO74" s="2"/>
      <c r="AP74" s="3"/>
      <c r="AQ74" s="3"/>
      <c r="AR74" s="3"/>
      <c r="AS74" s="3"/>
    </row>
    <row r="75" spans="1:45" ht="15">
      <c r="A75" s="66" t="s">
        <v>290</v>
      </c>
      <c r="B75" s="67"/>
      <c r="C75" s="67"/>
      <c r="D75" s="68"/>
      <c r="E75" s="70"/>
      <c r="F75" s="100" t="str">
        <f>HYPERLINK("https://i.ytimg.com/vi/gG8icHfUcQI/default.jpg")</f>
        <v>https://i.ytimg.com/vi/gG8icHfUcQI/default.jpg</v>
      </c>
      <c r="G75" s="67"/>
      <c r="H75" s="71"/>
      <c r="I75" s="72"/>
      <c r="J75" s="72"/>
      <c r="K75" s="71" t="s">
        <v>1318</v>
      </c>
      <c r="L75" s="75"/>
      <c r="M75" s="76">
        <v>7281.4892578125</v>
      </c>
      <c r="N75" s="76">
        <v>1336.7294921875</v>
      </c>
      <c r="O75" s="77"/>
      <c r="P75" s="78"/>
      <c r="Q75" s="78"/>
      <c r="R75" s="82"/>
      <c r="S75" s="82"/>
      <c r="T75" s="82"/>
      <c r="U75" s="82"/>
      <c r="V75" s="52"/>
      <c r="W75" s="52"/>
      <c r="X75" s="52"/>
      <c r="Y75" s="52"/>
      <c r="Z75" s="51"/>
      <c r="AA75" s="73">
        <v>75</v>
      </c>
      <c r="AB75" s="73"/>
      <c r="AC75" s="74"/>
      <c r="AD75" s="80" t="s">
        <v>1318</v>
      </c>
      <c r="AE75" s="80" t="s">
        <v>2352</v>
      </c>
      <c r="AF75" s="80" t="s">
        <v>3232</v>
      </c>
      <c r="AG75" s="80" t="s">
        <v>3923</v>
      </c>
      <c r="AH75" s="80" t="s">
        <v>4628</v>
      </c>
      <c r="AI75" s="80">
        <v>2197857</v>
      </c>
      <c r="AJ75" s="80">
        <v>2314</v>
      </c>
      <c r="AK75" s="80">
        <v>30173</v>
      </c>
      <c r="AL75" s="80">
        <v>2722</v>
      </c>
      <c r="AM75" s="80" t="s">
        <v>5614</v>
      </c>
      <c r="AN75" s="102" t="str">
        <f>HYPERLINK("https://www.youtube.com/watch?v=gG8icHfUcQI")</f>
        <v>https://www.youtube.com/watch?v=gG8icHfUcQI</v>
      </c>
      <c r="AO75" s="2"/>
      <c r="AP75" s="3"/>
      <c r="AQ75" s="3"/>
      <c r="AR75" s="3"/>
      <c r="AS75" s="3"/>
    </row>
    <row r="76" spans="1:45" ht="15">
      <c r="A76" s="66" t="s">
        <v>291</v>
      </c>
      <c r="B76" s="67"/>
      <c r="C76" s="67"/>
      <c r="D76" s="68"/>
      <c r="E76" s="70"/>
      <c r="F76" s="100" t="str">
        <f>HYPERLINK("https://i.ytimg.com/vi/LsrI-wK-UgE/default.jpg")</f>
        <v>https://i.ytimg.com/vi/LsrI-wK-UgE/default.jpg</v>
      </c>
      <c r="G76" s="67"/>
      <c r="H76" s="71"/>
      <c r="I76" s="72"/>
      <c r="J76" s="72"/>
      <c r="K76" s="71" t="s">
        <v>1300</v>
      </c>
      <c r="L76" s="75"/>
      <c r="M76" s="76">
        <v>6427.15234375</v>
      </c>
      <c r="N76" s="76">
        <v>3005.7041015625</v>
      </c>
      <c r="O76" s="77"/>
      <c r="P76" s="78"/>
      <c r="Q76" s="78"/>
      <c r="R76" s="82"/>
      <c r="S76" s="82"/>
      <c r="T76" s="82"/>
      <c r="U76" s="82"/>
      <c r="V76" s="52"/>
      <c r="W76" s="52"/>
      <c r="X76" s="52"/>
      <c r="Y76" s="52"/>
      <c r="Z76" s="51"/>
      <c r="AA76" s="73">
        <v>76</v>
      </c>
      <c r="AB76" s="73"/>
      <c r="AC76" s="74"/>
      <c r="AD76" s="80" t="s">
        <v>1300</v>
      </c>
      <c r="AE76" s="80" t="s">
        <v>2353</v>
      </c>
      <c r="AF76" s="80" t="s">
        <v>3233</v>
      </c>
      <c r="AG76" s="80" t="s">
        <v>3924</v>
      </c>
      <c r="AH76" s="80" t="s">
        <v>4629</v>
      </c>
      <c r="AI76" s="80">
        <v>5433</v>
      </c>
      <c r="AJ76" s="80">
        <v>0</v>
      </c>
      <c r="AK76" s="80">
        <v>12</v>
      </c>
      <c r="AL76" s="80">
        <v>0</v>
      </c>
      <c r="AM76" s="80" t="s">
        <v>5614</v>
      </c>
      <c r="AN76" s="102" t="str">
        <f>HYPERLINK("https://www.youtube.com/watch?v=LsrI-wK-UgE")</f>
        <v>https://www.youtube.com/watch?v=LsrI-wK-UgE</v>
      </c>
      <c r="AO76" s="2"/>
      <c r="AP76" s="3"/>
      <c r="AQ76" s="3"/>
      <c r="AR76" s="3"/>
      <c r="AS76" s="3"/>
    </row>
    <row r="77" spans="1:45" ht="15">
      <c r="A77" s="66" t="s">
        <v>292</v>
      </c>
      <c r="B77" s="67"/>
      <c r="C77" s="67"/>
      <c r="D77" s="68"/>
      <c r="E77" s="70"/>
      <c r="F77" s="100" t="str">
        <f>HYPERLINK("https://i.ytimg.com/vi/SzAuIWVoA2Y/default.jpg")</f>
        <v>https://i.ytimg.com/vi/SzAuIWVoA2Y/default.jpg</v>
      </c>
      <c r="G77" s="67"/>
      <c r="H77" s="71"/>
      <c r="I77" s="72"/>
      <c r="J77" s="72"/>
      <c r="K77" s="71" t="s">
        <v>1319</v>
      </c>
      <c r="L77" s="75"/>
      <c r="M77" s="76">
        <v>5235.46923828125</v>
      </c>
      <c r="N77" s="76">
        <v>6017.45751953125</v>
      </c>
      <c r="O77" s="77"/>
      <c r="P77" s="78"/>
      <c r="Q77" s="78"/>
      <c r="R77" s="82"/>
      <c r="S77" s="82"/>
      <c r="T77" s="82"/>
      <c r="U77" s="82"/>
      <c r="V77" s="52"/>
      <c r="W77" s="52"/>
      <c r="X77" s="52"/>
      <c r="Y77" s="52"/>
      <c r="Z77" s="51"/>
      <c r="AA77" s="73">
        <v>77</v>
      </c>
      <c r="AB77" s="73"/>
      <c r="AC77" s="74"/>
      <c r="AD77" s="80" t="s">
        <v>1319</v>
      </c>
      <c r="AE77" s="80" t="s">
        <v>2354</v>
      </c>
      <c r="AF77" s="80" t="s">
        <v>3234</v>
      </c>
      <c r="AG77" s="80" t="s">
        <v>3877</v>
      </c>
      <c r="AH77" s="80" t="s">
        <v>4630</v>
      </c>
      <c r="AI77" s="80">
        <v>28428</v>
      </c>
      <c r="AJ77" s="80">
        <v>4</v>
      </c>
      <c r="AK77" s="80">
        <v>98</v>
      </c>
      <c r="AL77" s="80">
        <v>3</v>
      </c>
      <c r="AM77" s="80" t="s">
        <v>5614</v>
      </c>
      <c r="AN77" s="102" t="str">
        <f>HYPERLINK("https://www.youtube.com/watch?v=SzAuIWVoA2Y")</f>
        <v>https://www.youtube.com/watch?v=SzAuIWVoA2Y</v>
      </c>
      <c r="AO77" s="2"/>
      <c r="AP77" s="3"/>
      <c r="AQ77" s="3"/>
      <c r="AR77" s="3"/>
      <c r="AS77" s="3"/>
    </row>
    <row r="78" spans="1:45" ht="15">
      <c r="A78" s="66" t="s">
        <v>293</v>
      </c>
      <c r="B78" s="67"/>
      <c r="C78" s="67"/>
      <c r="D78" s="68"/>
      <c r="E78" s="70"/>
      <c r="F78" s="100" t="str">
        <f>HYPERLINK("https://i.ytimg.com/vi/EIkON56HUf8/default.jpg")</f>
        <v>https://i.ytimg.com/vi/EIkON56HUf8/default.jpg</v>
      </c>
      <c r="G78" s="67"/>
      <c r="H78" s="71"/>
      <c r="I78" s="72"/>
      <c r="J78" s="72"/>
      <c r="K78" s="71" t="s">
        <v>1320</v>
      </c>
      <c r="L78" s="75"/>
      <c r="M78" s="76">
        <v>5481.92333984375</v>
      </c>
      <c r="N78" s="76">
        <v>4208.35107421875</v>
      </c>
      <c r="O78" s="77"/>
      <c r="P78" s="78"/>
      <c r="Q78" s="78"/>
      <c r="R78" s="82"/>
      <c r="S78" s="82"/>
      <c r="T78" s="82"/>
      <c r="U78" s="82"/>
      <c r="V78" s="52"/>
      <c r="W78" s="52"/>
      <c r="X78" s="52"/>
      <c r="Y78" s="52"/>
      <c r="Z78" s="51"/>
      <c r="AA78" s="73">
        <v>78</v>
      </c>
      <c r="AB78" s="73"/>
      <c r="AC78" s="74"/>
      <c r="AD78" s="80" t="s">
        <v>1320</v>
      </c>
      <c r="AE78" s="80"/>
      <c r="AF78" s="80"/>
      <c r="AG78" s="80" t="s">
        <v>3925</v>
      </c>
      <c r="AH78" s="80" t="s">
        <v>4631</v>
      </c>
      <c r="AI78" s="80">
        <v>3482</v>
      </c>
      <c r="AJ78" s="80">
        <v>9</v>
      </c>
      <c r="AK78" s="80">
        <v>42</v>
      </c>
      <c r="AL78" s="80">
        <v>1</v>
      </c>
      <c r="AM78" s="80" t="s">
        <v>5614</v>
      </c>
      <c r="AN78" s="102" t="str">
        <f>HYPERLINK("https://www.youtube.com/watch?v=EIkON56HUf8")</f>
        <v>https://www.youtube.com/watch?v=EIkON56HUf8</v>
      </c>
      <c r="AO78" s="2"/>
      <c r="AP78" s="3"/>
      <c r="AQ78" s="3"/>
      <c r="AR78" s="3"/>
      <c r="AS78" s="3"/>
    </row>
    <row r="79" spans="1:45" ht="15">
      <c r="A79" s="66" t="s">
        <v>294</v>
      </c>
      <c r="B79" s="67"/>
      <c r="C79" s="67"/>
      <c r="D79" s="68"/>
      <c r="E79" s="70"/>
      <c r="F79" s="100" t="str">
        <f>HYPERLINK("https://i.ytimg.com/vi/0-SyhRB8i_4/default.jpg")</f>
        <v>https://i.ytimg.com/vi/0-SyhRB8i_4/default.jpg</v>
      </c>
      <c r="G79" s="67"/>
      <c r="H79" s="71"/>
      <c r="I79" s="72"/>
      <c r="J79" s="72"/>
      <c r="K79" s="71" t="s">
        <v>1321</v>
      </c>
      <c r="L79" s="75"/>
      <c r="M79" s="76">
        <v>5278.25537109375</v>
      </c>
      <c r="N79" s="76">
        <v>2585.7900390625</v>
      </c>
      <c r="O79" s="77"/>
      <c r="P79" s="78"/>
      <c r="Q79" s="78"/>
      <c r="R79" s="82"/>
      <c r="S79" s="82"/>
      <c r="T79" s="82"/>
      <c r="U79" s="82"/>
      <c r="V79" s="52"/>
      <c r="W79" s="52"/>
      <c r="X79" s="52"/>
      <c r="Y79" s="52"/>
      <c r="Z79" s="51"/>
      <c r="AA79" s="73">
        <v>79</v>
      </c>
      <c r="AB79" s="73"/>
      <c r="AC79" s="74"/>
      <c r="AD79" s="80" t="s">
        <v>1321</v>
      </c>
      <c r="AE79" s="80" t="s">
        <v>2355</v>
      </c>
      <c r="AF79" s="80" t="s">
        <v>3235</v>
      </c>
      <c r="AG79" s="80" t="s">
        <v>3926</v>
      </c>
      <c r="AH79" s="80" t="s">
        <v>4632</v>
      </c>
      <c r="AI79" s="80">
        <v>789</v>
      </c>
      <c r="AJ79" s="80">
        <v>0</v>
      </c>
      <c r="AK79" s="80">
        <v>11</v>
      </c>
      <c r="AL79" s="80">
        <v>1</v>
      </c>
      <c r="AM79" s="80" t="s">
        <v>5614</v>
      </c>
      <c r="AN79" s="102" t="str">
        <f>HYPERLINK("https://www.youtube.com/watch?v=0-SyhRB8i_4")</f>
        <v>https://www.youtube.com/watch?v=0-SyhRB8i_4</v>
      </c>
      <c r="AO79" s="2"/>
      <c r="AP79" s="3"/>
      <c r="AQ79" s="3"/>
      <c r="AR79" s="3"/>
      <c r="AS79" s="3"/>
    </row>
    <row r="80" spans="1:45" ht="15">
      <c r="A80" s="66" t="s">
        <v>295</v>
      </c>
      <c r="B80" s="67"/>
      <c r="C80" s="67"/>
      <c r="D80" s="68"/>
      <c r="E80" s="70"/>
      <c r="F80" s="100" t="str">
        <f>HYPERLINK("https://i.ytimg.com/vi/sDl1GpOP_ls/default.jpg")</f>
        <v>https://i.ytimg.com/vi/sDl1GpOP_ls/default.jpg</v>
      </c>
      <c r="G80" s="67"/>
      <c r="H80" s="71"/>
      <c r="I80" s="72"/>
      <c r="J80" s="72"/>
      <c r="K80" s="71" t="s">
        <v>1322</v>
      </c>
      <c r="L80" s="75"/>
      <c r="M80" s="76">
        <v>6061.73681640625</v>
      </c>
      <c r="N80" s="76">
        <v>4050.98095703125</v>
      </c>
      <c r="O80" s="77"/>
      <c r="P80" s="78"/>
      <c r="Q80" s="78"/>
      <c r="R80" s="82"/>
      <c r="S80" s="82"/>
      <c r="T80" s="82"/>
      <c r="U80" s="82"/>
      <c r="V80" s="52"/>
      <c r="W80" s="52"/>
      <c r="X80" s="52"/>
      <c r="Y80" s="52"/>
      <c r="Z80" s="51"/>
      <c r="AA80" s="73">
        <v>80</v>
      </c>
      <c r="AB80" s="73"/>
      <c r="AC80" s="74"/>
      <c r="AD80" s="80" t="s">
        <v>1322</v>
      </c>
      <c r="AE80" s="80" t="s">
        <v>2356</v>
      </c>
      <c r="AF80" s="80" t="s">
        <v>3236</v>
      </c>
      <c r="AG80" s="80" t="s">
        <v>3917</v>
      </c>
      <c r="AH80" s="80" t="s">
        <v>4633</v>
      </c>
      <c r="AI80" s="80">
        <v>17239</v>
      </c>
      <c r="AJ80" s="80">
        <v>12</v>
      </c>
      <c r="AK80" s="80">
        <v>216</v>
      </c>
      <c r="AL80" s="80">
        <v>4</v>
      </c>
      <c r="AM80" s="80" t="s">
        <v>5614</v>
      </c>
      <c r="AN80" s="102" t="str">
        <f>HYPERLINK("https://www.youtube.com/watch?v=sDl1GpOP_ls")</f>
        <v>https://www.youtube.com/watch?v=sDl1GpOP_ls</v>
      </c>
      <c r="AO80" s="2"/>
      <c r="AP80" s="3"/>
      <c r="AQ80" s="3"/>
      <c r="AR80" s="3"/>
      <c r="AS80" s="3"/>
    </row>
    <row r="81" spans="1:45" ht="15">
      <c r="A81" s="66" t="s">
        <v>296</v>
      </c>
      <c r="B81" s="67"/>
      <c r="C81" s="67"/>
      <c r="D81" s="68"/>
      <c r="E81" s="70"/>
      <c r="F81" s="100" t="str">
        <f>HYPERLINK("https://i.ytimg.com/vi/w16HReGv7Ek/default.jpg")</f>
        <v>https://i.ytimg.com/vi/w16HReGv7Ek/default.jpg</v>
      </c>
      <c r="G81" s="67"/>
      <c r="H81" s="71"/>
      <c r="I81" s="72"/>
      <c r="J81" s="72"/>
      <c r="K81" s="71" t="s">
        <v>1323</v>
      </c>
      <c r="L81" s="75"/>
      <c r="M81" s="76">
        <v>3750.3056640625</v>
      </c>
      <c r="N81" s="76">
        <v>4726.01806640625</v>
      </c>
      <c r="O81" s="77"/>
      <c r="P81" s="78"/>
      <c r="Q81" s="78"/>
      <c r="R81" s="82"/>
      <c r="S81" s="82"/>
      <c r="T81" s="82"/>
      <c r="U81" s="82"/>
      <c r="V81" s="52"/>
      <c r="W81" s="52"/>
      <c r="X81" s="52"/>
      <c r="Y81" s="52"/>
      <c r="Z81" s="51"/>
      <c r="AA81" s="73">
        <v>81</v>
      </c>
      <c r="AB81" s="73"/>
      <c r="AC81" s="74"/>
      <c r="AD81" s="80" t="s">
        <v>1323</v>
      </c>
      <c r="AE81" s="80"/>
      <c r="AF81" s="80"/>
      <c r="AG81" s="80" t="s">
        <v>3927</v>
      </c>
      <c r="AH81" s="80" t="s">
        <v>4634</v>
      </c>
      <c r="AI81" s="80">
        <v>1531</v>
      </c>
      <c r="AJ81" s="80">
        <v>0</v>
      </c>
      <c r="AK81" s="80">
        <v>5</v>
      </c>
      <c r="AL81" s="80">
        <v>2</v>
      </c>
      <c r="AM81" s="80" t="s">
        <v>5614</v>
      </c>
      <c r="AN81" s="102" t="str">
        <f>HYPERLINK("https://www.youtube.com/watch?v=w16HReGv7Ek")</f>
        <v>https://www.youtube.com/watch?v=w16HReGv7Ek</v>
      </c>
      <c r="AO81" s="2"/>
      <c r="AP81" s="3"/>
      <c r="AQ81" s="3"/>
      <c r="AR81" s="3"/>
      <c r="AS81" s="3"/>
    </row>
    <row r="82" spans="1:45" ht="15">
      <c r="A82" s="66" t="s">
        <v>221</v>
      </c>
      <c r="B82" s="67"/>
      <c r="C82" s="67"/>
      <c r="D82" s="68"/>
      <c r="E82" s="70"/>
      <c r="F82" s="100" t="str">
        <f>HYPERLINK("https://i.ytimg.com/vi/OKdDK09mRRw/default.jpg")</f>
        <v>https://i.ytimg.com/vi/OKdDK09mRRw/default.jpg</v>
      </c>
      <c r="G82" s="67"/>
      <c r="H82" s="71"/>
      <c r="I82" s="72"/>
      <c r="J82" s="72"/>
      <c r="K82" s="71" t="s">
        <v>1324</v>
      </c>
      <c r="L82" s="75"/>
      <c r="M82" s="76">
        <v>6043.9287109375</v>
      </c>
      <c r="N82" s="76">
        <v>3527.38330078125</v>
      </c>
      <c r="O82" s="77"/>
      <c r="P82" s="78"/>
      <c r="Q82" s="78"/>
      <c r="R82" s="82"/>
      <c r="S82" s="82"/>
      <c r="T82" s="82"/>
      <c r="U82" s="82"/>
      <c r="V82" s="52"/>
      <c r="W82" s="52"/>
      <c r="X82" s="52"/>
      <c r="Y82" s="52"/>
      <c r="Z82" s="51"/>
      <c r="AA82" s="73">
        <v>82</v>
      </c>
      <c r="AB82" s="73"/>
      <c r="AC82" s="74"/>
      <c r="AD82" s="80" t="s">
        <v>1324</v>
      </c>
      <c r="AE82" s="80" t="s">
        <v>2357</v>
      </c>
      <c r="AF82" s="80" t="s">
        <v>3237</v>
      </c>
      <c r="AG82" s="80" t="s">
        <v>3928</v>
      </c>
      <c r="AH82" s="80" t="s">
        <v>4635</v>
      </c>
      <c r="AI82" s="80">
        <v>32698</v>
      </c>
      <c r="AJ82" s="80">
        <v>11</v>
      </c>
      <c r="AK82" s="80">
        <v>211</v>
      </c>
      <c r="AL82" s="80">
        <v>9</v>
      </c>
      <c r="AM82" s="80" t="s">
        <v>5614</v>
      </c>
      <c r="AN82" s="102" t="str">
        <f>HYPERLINK("https://www.youtube.com/watch?v=OKdDK09mRRw")</f>
        <v>https://www.youtube.com/watch?v=OKdDK09mRRw</v>
      </c>
      <c r="AO82" s="2"/>
      <c r="AP82" s="3"/>
      <c r="AQ82" s="3"/>
      <c r="AR82" s="3"/>
      <c r="AS82" s="3"/>
    </row>
    <row r="83" spans="1:45" ht="15">
      <c r="A83" s="66" t="s">
        <v>184</v>
      </c>
      <c r="B83" s="67"/>
      <c r="C83" s="67"/>
      <c r="D83" s="68"/>
      <c r="E83" s="70"/>
      <c r="F83" s="100" t="str">
        <f>HYPERLINK("https://i.ytimg.com/vi/802p3mbyyD8/default.jpg")</f>
        <v>https://i.ytimg.com/vi/802p3mbyyD8/default.jpg</v>
      </c>
      <c r="G83" s="67"/>
      <c r="H83" s="71"/>
      <c r="I83" s="72"/>
      <c r="J83" s="72"/>
      <c r="K83" s="71" t="s">
        <v>1325</v>
      </c>
      <c r="L83" s="75"/>
      <c r="M83" s="76">
        <v>7049.07373046875</v>
      </c>
      <c r="N83" s="76">
        <v>3909.974365234375</v>
      </c>
      <c r="O83" s="77"/>
      <c r="P83" s="78"/>
      <c r="Q83" s="78"/>
      <c r="R83" s="82"/>
      <c r="S83" s="82"/>
      <c r="T83" s="82"/>
      <c r="U83" s="82"/>
      <c r="V83" s="52"/>
      <c r="W83" s="52"/>
      <c r="X83" s="52"/>
      <c r="Y83" s="52"/>
      <c r="Z83" s="51"/>
      <c r="AA83" s="73">
        <v>83</v>
      </c>
      <c r="AB83" s="73"/>
      <c r="AC83" s="74"/>
      <c r="AD83" s="80" t="s">
        <v>1325</v>
      </c>
      <c r="AE83" s="80" t="s">
        <v>2358</v>
      </c>
      <c r="AF83" s="80" t="s">
        <v>3238</v>
      </c>
      <c r="AG83" s="80" t="s">
        <v>3929</v>
      </c>
      <c r="AH83" s="80" t="s">
        <v>4636</v>
      </c>
      <c r="AI83" s="80">
        <v>118</v>
      </c>
      <c r="AJ83" s="80">
        <v>0</v>
      </c>
      <c r="AK83" s="80">
        <v>0</v>
      </c>
      <c r="AL83" s="80">
        <v>0</v>
      </c>
      <c r="AM83" s="80" t="s">
        <v>5614</v>
      </c>
      <c r="AN83" s="102" t="str">
        <f>HYPERLINK("https://www.youtube.com/watch?v=802p3mbyyD8")</f>
        <v>https://www.youtube.com/watch?v=802p3mbyyD8</v>
      </c>
      <c r="AO83" s="2"/>
      <c r="AP83" s="3"/>
      <c r="AQ83" s="3"/>
      <c r="AR83" s="3"/>
      <c r="AS83" s="3"/>
    </row>
    <row r="84" spans="1:45" ht="15">
      <c r="A84" s="66" t="s">
        <v>297</v>
      </c>
      <c r="B84" s="67"/>
      <c r="C84" s="67"/>
      <c r="D84" s="68"/>
      <c r="E84" s="70"/>
      <c r="F84" s="100" t="str">
        <f>HYPERLINK("https://i.ytimg.com/vi/MchCUkLuMTM/default.jpg")</f>
        <v>https://i.ytimg.com/vi/MchCUkLuMTM/default.jpg</v>
      </c>
      <c r="G84" s="67"/>
      <c r="H84" s="71"/>
      <c r="I84" s="72"/>
      <c r="J84" s="72"/>
      <c r="K84" s="71" t="s">
        <v>1326</v>
      </c>
      <c r="L84" s="75"/>
      <c r="M84" s="76">
        <v>9688.3759765625</v>
      </c>
      <c r="N84" s="76">
        <v>3824.53271484375</v>
      </c>
      <c r="O84" s="77"/>
      <c r="P84" s="78"/>
      <c r="Q84" s="78"/>
      <c r="R84" s="82"/>
      <c r="S84" s="82"/>
      <c r="T84" s="82"/>
      <c r="U84" s="82"/>
      <c r="V84" s="52"/>
      <c r="W84" s="52"/>
      <c r="X84" s="52"/>
      <c r="Y84" s="52"/>
      <c r="Z84" s="51"/>
      <c r="AA84" s="73">
        <v>84</v>
      </c>
      <c r="AB84" s="73"/>
      <c r="AC84" s="74"/>
      <c r="AD84" s="80" t="s">
        <v>1326</v>
      </c>
      <c r="AE84" s="80" t="s">
        <v>2359</v>
      </c>
      <c r="AF84" s="80" t="s">
        <v>3239</v>
      </c>
      <c r="AG84" s="80" t="s">
        <v>3930</v>
      </c>
      <c r="AH84" s="80" t="s">
        <v>4637</v>
      </c>
      <c r="AI84" s="80">
        <v>4670</v>
      </c>
      <c r="AJ84" s="80">
        <v>9</v>
      </c>
      <c r="AK84" s="80">
        <v>34</v>
      </c>
      <c r="AL84" s="80">
        <v>5</v>
      </c>
      <c r="AM84" s="80" t="s">
        <v>5614</v>
      </c>
      <c r="AN84" s="102" t="str">
        <f>HYPERLINK("https://www.youtube.com/watch?v=MchCUkLuMTM")</f>
        <v>https://www.youtube.com/watch?v=MchCUkLuMTM</v>
      </c>
      <c r="AO84" s="2"/>
      <c r="AP84" s="3"/>
      <c r="AQ84" s="3"/>
      <c r="AR84" s="3"/>
      <c r="AS84" s="3"/>
    </row>
    <row r="85" spans="1:45" ht="15">
      <c r="A85" s="66" t="s">
        <v>298</v>
      </c>
      <c r="B85" s="67"/>
      <c r="C85" s="67"/>
      <c r="D85" s="68"/>
      <c r="E85" s="70"/>
      <c r="F85" s="100" t="str">
        <f>HYPERLINK("https://i.ytimg.com/vi/rOfyq4DGuYI/default.jpg")</f>
        <v>https://i.ytimg.com/vi/rOfyq4DGuYI/default.jpg</v>
      </c>
      <c r="G85" s="67"/>
      <c r="H85" s="71"/>
      <c r="I85" s="72"/>
      <c r="J85" s="72"/>
      <c r="K85" s="71" t="s">
        <v>1327</v>
      </c>
      <c r="L85" s="75"/>
      <c r="M85" s="76">
        <v>9757.89453125</v>
      </c>
      <c r="N85" s="76">
        <v>3906.708251953125</v>
      </c>
      <c r="O85" s="77"/>
      <c r="P85" s="78"/>
      <c r="Q85" s="78"/>
      <c r="R85" s="82"/>
      <c r="S85" s="82"/>
      <c r="T85" s="82"/>
      <c r="U85" s="82"/>
      <c r="V85" s="52"/>
      <c r="W85" s="52"/>
      <c r="X85" s="52"/>
      <c r="Y85" s="52"/>
      <c r="Z85" s="51"/>
      <c r="AA85" s="73">
        <v>85</v>
      </c>
      <c r="AB85" s="73"/>
      <c r="AC85" s="74"/>
      <c r="AD85" s="80" t="s">
        <v>1327</v>
      </c>
      <c r="AE85" s="80" t="s">
        <v>2360</v>
      </c>
      <c r="AF85" s="80" t="s">
        <v>3240</v>
      </c>
      <c r="AG85" s="80" t="s">
        <v>3929</v>
      </c>
      <c r="AH85" s="80" t="s">
        <v>4638</v>
      </c>
      <c r="AI85" s="80">
        <v>7</v>
      </c>
      <c r="AJ85" s="80">
        <v>0</v>
      </c>
      <c r="AK85" s="80">
        <v>0</v>
      </c>
      <c r="AL85" s="80">
        <v>0</v>
      </c>
      <c r="AM85" s="80" t="s">
        <v>5614</v>
      </c>
      <c r="AN85" s="102" t="str">
        <f>HYPERLINK("https://www.youtube.com/watch?v=rOfyq4DGuYI")</f>
        <v>https://www.youtube.com/watch?v=rOfyq4DGuYI</v>
      </c>
      <c r="AO85" s="2"/>
      <c r="AP85" s="3"/>
      <c r="AQ85" s="3"/>
      <c r="AR85" s="3"/>
      <c r="AS85" s="3"/>
    </row>
    <row r="86" spans="1:45" ht="15">
      <c r="A86" s="66" t="s">
        <v>299</v>
      </c>
      <c r="B86" s="67"/>
      <c r="C86" s="67"/>
      <c r="D86" s="68"/>
      <c r="E86" s="70"/>
      <c r="F86" s="100" t="str">
        <f>HYPERLINK("https://i.ytimg.com/vi/x87cv3WSDCE/default.jpg")</f>
        <v>https://i.ytimg.com/vi/x87cv3WSDCE/default.jpg</v>
      </c>
      <c r="G86" s="67"/>
      <c r="H86" s="71"/>
      <c r="I86" s="72"/>
      <c r="J86" s="72"/>
      <c r="K86" s="71" t="s">
        <v>1328</v>
      </c>
      <c r="L86" s="75"/>
      <c r="M86" s="76">
        <v>9711.5537109375</v>
      </c>
      <c r="N86" s="76">
        <v>3883.064697265625</v>
      </c>
      <c r="O86" s="77"/>
      <c r="P86" s="78"/>
      <c r="Q86" s="78"/>
      <c r="R86" s="82"/>
      <c r="S86" s="82"/>
      <c r="T86" s="82"/>
      <c r="U86" s="82"/>
      <c r="V86" s="52"/>
      <c r="W86" s="52"/>
      <c r="X86" s="52"/>
      <c r="Y86" s="52"/>
      <c r="Z86" s="51"/>
      <c r="AA86" s="73">
        <v>86</v>
      </c>
      <c r="AB86" s="73"/>
      <c r="AC86" s="74"/>
      <c r="AD86" s="80" t="s">
        <v>1328</v>
      </c>
      <c r="AE86" s="80" t="s">
        <v>2361</v>
      </c>
      <c r="AF86" s="80"/>
      <c r="AG86" s="80" t="s">
        <v>3929</v>
      </c>
      <c r="AH86" s="80" t="s">
        <v>4639</v>
      </c>
      <c r="AI86" s="80">
        <v>7</v>
      </c>
      <c r="AJ86" s="80">
        <v>0</v>
      </c>
      <c r="AK86" s="80">
        <v>0</v>
      </c>
      <c r="AL86" s="80">
        <v>0</v>
      </c>
      <c r="AM86" s="80" t="s">
        <v>5614</v>
      </c>
      <c r="AN86" s="102" t="str">
        <f>HYPERLINK("https://www.youtube.com/watch?v=x87cv3WSDCE")</f>
        <v>https://www.youtube.com/watch?v=x87cv3WSDCE</v>
      </c>
      <c r="AO86" s="2"/>
      <c r="AP86" s="3"/>
      <c r="AQ86" s="3"/>
      <c r="AR86" s="3"/>
      <c r="AS86" s="3"/>
    </row>
    <row r="87" spans="1:45" ht="15">
      <c r="A87" s="66" t="s">
        <v>300</v>
      </c>
      <c r="B87" s="67"/>
      <c r="C87" s="67"/>
      <c r="D87" s="68"/>
      <c r="E87" s="70"/>
      <c r="F87" s="100" t="str">
        <f>HYPERLINK("https://i.ytimg.com/vi/JQmESBH84JM/default.jpg")</f>
        <v>https://i.ytimg.com/vi/JQmESBH84JM/default.jpg</v>
      </c>
      <c r="G87" s="67"/>
      <c r="H87" s="71"/>
      <c r="I87" s="72"/>
      <c r="J87" s="72"/>
      <c r="K87" s="71" t="s">
        <v>1329</v>
      </c>
      <c r="L87" s="75"/>
      <c r="M87" s="76">
        <v>9649.37890625</v>
      </c>
      <c r="N87" s="76">
        <v>4284.8154296875</v>
      </c>
      <c r="O87" s="77"/>
      <c r="P87" s="78"/>
      <c r="Q87" s="78"/>
      <c r="R87" s="82"/>
      <c r="S87" s="82"/>
      <c r="T87" s="82"/>
      <c r="U87" s="82"/>
      <c r="V87" s="52"/>
      <c r="W87" s="52"/>
      <c r="X87" s="52"/>
      <c r="Y87" s="52"/>
      <c r="Z87" s="51"/>
      <c r="AA87" s="73">
        <v>87</v>
      </c>
      <c r="AB87" s="73"/>
      <c r="AC87" s="74"/>
      <c r="AD87" s="80" t="s">
        <v>1329</v>
      </c>
      <c r="AE87" s="80" t="s">
        <v>2362</v>
      </c>
      <c r="AF87" s="80"/>
      <c r="AG87" s="80" t="s">
        <v>3929</v>
      </c>
      <c r="AH87" s="80" t="s">
        <v>4640</v>
      </c>
      <c r="AI87" s="80">
        <v>6</v>
      </c>
      <c r="AJ87" s="80">
        <v>0</v>
      </c>
      <c r="AK87" s="80">
        <v>0</v>
      </c>
      <c r="AL87" s="80">
        <v>0</v>
      </c>
      <c r="AM87" s="80" t="s">
        <v>5614</v>
      </c>
      <c r="AN87" s="102" t="str">
        <f>HYPERLINK("https://www.youtube.com/watch?v=JQmESBH84JM")</f>
        <v>https://www.youtube.com/watch?v=JQmESBH84JM</v>
      </c>
      <c r="AO87" s="2"/>
      <c r="AP87" s="3"/>
      <c r="AQ87" s="3"/>
      <c r="AR87" s="3"/>
      <c r="AS87" s="3"/>
    </row>
    <row r="88" spans="1:45" ht="15">
      <c r="A88" s="66" t="s">
        <v>301</v>
      </c>
      <c r="B88" s="67"/>
      <c r="C88" s="67"/>
      <c r="D88" s="68"/>
      <c r="E88" s="70"/>
      <c r="F88" s="100" t="str">
        <f>HYPERLINK("https://i.ytimg.com/vi/Egm0KjdBDCs/default.jpg")</f>
        <v>https://i.ytimg.com/vi/Egm0KjdBDCs/default.jpg</v>
      </c>
      <c r="G88" s="67"/>
      <c r="H88" s="71"/>
      <c r="I88" s="72"/>
      <c r="J88" s="72"/>
      <c r="K88" s="71" t="s">
        <v>1330</v>
      </c>
      <c r="L88" s="75"/>
      <c r="M88" s="76">
        <v>9755.447265625</v>
      </c>
      <c r="N88" s="76">
        <v>4047.272216796875</v>
      </c>
      <c r="O88" s="77"/>
      <c r="P88" s="78"/>
      <c r="Q88" s="78"/>
      <c r="R88" s="82"/>
      <c r="S88" s="82"/>
      <c r="T88" s="82"/>
      <c r="U88" s="82"/>
      <c r="V88" s="52"/>
      <c r="W88" s="52"/>
      <c r="X88" s="52"/>
      <c r="Y88" s="52"/>
      <c r="Z88" s="51"/>
      <c r="AA88" s="73">
        <v>88</v>
      </c>
      <c r="AB88" s="73"/>
      <c r="AC88" s="74"/>
      <c r="AD88" s="80" t="s">
        <v>1330</v>
      </c>
      <c r="AE88" s="80" t="s">
        <v>2363</v>
      </c>
      <c r="AF88" s="80"/>
      <c r="AG88" s="80" t="s">
        <v>3929</v>
      </c>
      <c r="AH88" s="80" t="s">
        <v>4641</v>
      </c>
      <c r="AI88" s="80">
        <v>19</v>
      </c>
      <c r="AJ88" s="80">
        <v>0</v>
      </c>
      <c r="AK88" s="80">
        <v>0</v>
      </c>
      <c r="AL88" s="80">
        <v>0</v>
      </c>
      <c r="AM88" s="80" t="s">
        <v>5614</v>
      </c>
      <c r="AN88" s="102" t="str">
        <f>HYPERLINK("https://www.youtube.com/watch?v=Egm0KjdBDCs")</f>
        <v>https://www.youtube.com/watch?v=Egm0KjdBDCs</v>
      </c>
      <c r="AO88" s="2"/>
      <c r="AP88" s="3"/>
      <c r="AQ88" s="3"/>
      <c r="AR88" s="3"/>
      <c r="AS88" s="3"/>
    </row>
    <row r="89" spans="1:45" ht="15">
      <c r="A89" s="66" t="s">
        <v>302</v>
      </c>
      <c r="B89" s="67"/>
      <c r="C89" s="67"/>
      <c r="D89" s="68"/>
      <c r="E89" s="70"/>
      <c r="F89" s="100" t="str">
        <f>HYPERLINK("https://i.ytimg.com/vi/CfwI4LCLywA/default.jpg")</f>
        <v>https://i.ytimg.com/vi/CfwI4LCLywA/default.jpg</v>
      </c>
      <c r="G89" s="67"/>
      <c r="H89" s="71"/>
      <c r="I89" s="72"/>
      <c r="J89" s="72"/>
      <c r="K89" s="71" t="s">
        <v>1331</v>
      </c>
      <c r="L89" s="75"/>
      <c r="M89" s="76">
        <v>9682.3310546875</v>
      </c>
      <c r="N89" s="76">
        <v>4093.67578125</v>
      </c>
      <c r="O89" s="77"/>
      <c r="P89" s="78"/>
      <c r="Q89" s="78"/>
      <c r="R89" s="82"/>
      <c r="S89" s="82"/>
      <c r="T89" s="82"/>
      <c r="U89" s="82"/>
      <c r="V89" s="52"/>
      <c r="W89" s="52"/>
      <c r="X89" s="52"/>
      <c r="Y89" s="52"/>
      <c r="Z89" s="51"/>
      <c r="AA89" s="73">
        <v>89</v>
      </c>
      <c r="AB89" s="73"/>
      <c r="AC89" s="74"/>
      <c r="AD89" s="80" t="s">
        <v>1331</v>
      </c>
      <c r="AE89" s="80" t="s">
        <v>2364</v>
      </c>
      <c r="AF89" s="80"/>
      <c r="AG89" s="80" t="s">
        <v>3929</v>
      </c>
      <c r="AH89" s="80" t="s">
        <v>4642</v>
      </c>
      <c r="AI89" s="80">
        <v>19</v>
      </c>
      <c r="AJ89" s="80">
        <v>0</v>
      </c>
      <c r="AK89" s="80">
        <v>0</v>
      </c>
      <c r="AL89" s="80">
        <v>0</v>
      </c>
      <c r="AM89" s="80" t="s">
        <v>5614</v>
      </c>
      <c r="AN89" s="102" t="str">
        <f>HYPERLINK("https://www.youtube.com/watch?v=CfwI4LCLywA")</f>
        <v>https://www.youtube.com/watch?v=CfwI4LCLywA</v>
      </c>
      <c r="AO89" s="2"/>
      <c r="AP89" s="3"/>
      <c r="AQ89" s="3"/>
      <c r="AR89" s="3"/>
      <c r="AS89" s="3"/>
    </row>
    <row r="90" spans="1:45" ht="15">
      <c r="A90" s="66" t="s">
        <v>303</v>
      </c>
      <c r="B90" s="67"/>
      <c r="C90" s="67"/>
      <c r="D90" s="68"/>
      <c r="E90" s="70"/>
      <c r="F90" s="100" t="str">
        <f>HYPERLINK("https://i.ytimg.com/vi/N-SFzYA5_XA/default.jpg")</f>
        <v>https://i.ytimg.com/vi/N-SFzYA5_XA/default.jpg</v>
      </c>
      <c r="G90" s="67"/>
      <c r="H90" s="71"/>
      <c r="I90" s="72"/>
      <c r="J90" s="72"/>
      <c r="K90" s="71" t="s">
        <v>1332</v>
      </c>
      <c r="L90" s="75"/>
      <c r="M90" s="76">
        <v>9722.287109375</v>
      </c>
      <c r="N90" s="76">
        <v>3907.0205078125</v>
      </c>
      <c r="O90" s="77"/>
      <c r="P90" s="78"/>
      <c r="Q90" s="78"/>
      <c r="R90" s="82"/>
      <c r="S90" s="82"/>
      <c r="T90" s="82"/>
      <c r="U90" s="82"/>
      <c r="V90" s="52"/>
      <c r="W90" s="52"/>
      <c r="X90" s="52"/>
      <c r="Y90" s="52"/>
      <c r="Z90" s="51"/>
      <c r="AA90" s="73">
        <v>90</v>
      </c>
      <c r="AB90" s="73"/>
      <c r="AC90" s="74"/>
      <c r="AD90" s="80" t="s">
        <v>1332</v>
      </c>
      <c r="AE90" s="80" t="s">
        <v>2365</v>
      </c>
      <c r="AF90" s="80" t="s">
        <v>3241</v>
      </c>
      <c r="AG90" s="80" t="s">
        <v>3929</v>
      </c>
      <c r="AH90" s="80" t="s">
        <v>4643</v>
      </c>
      <c r="AI90" s="80">
        <v>7</v>
      </c>
      <c r="AJ90" s="80">
        <v>0</v>
      </c>
      <c r="AK90" s="80">
        <v>0</v>
      </c>
      <c r="AL90" s="80">
        <v>0</v>
      </c>
      <c r="AM90" s="80" t="s">
        <v>5614</v>
      </c>
      <c r="AN90" s="102" t="str">
        <f>HYPERLINK("https://www.youtube.com/watch?v=N-SFzYA5_XA")</f>
        <v>https://www.youtube.com/watch?v=N-SFzYA5_XA</v>
      </c>
      <c r="AO90" s="2"/>
      <c r="AP90" s="3"/>
      <c r="AQ90" s="3"/>
      <c r="AR90" s="3"/>
      <c r="AS90" s="3"/>
    </row>
    <row r="91" spans="1:45" ht="15">
      <c r="A91" s="66" t="s">
        <v>304</v>
      </c>
      <c r="B91" s="67"/>
      <c r="C91" s="67"/>
      <c r="D91" s="68"/>
      <c r="E91" s="70"/>
      <c r="F91" s="100" t="str">
        <f>HYPERLINK("https://i.ytimg.com/vi/fYUxOuWp4Q0/default.jpg")</f>
        <v>https://i.ytimg.com/vi/fYUxOuWp4Q0/default.jpg</v>
      </c>
      <c r="G91" s="67"/>
      <c r="H91" s="71"/>
      <c r="I91" s="72"/>
      <c r="J91" s="72"/>
      <c r="K91" s="71" t="s">
        <v>1333</v>
      </c>
      <c r="L91" s="75"/>
      <c r="M91" s="76">
        <v>9617.314453125</v>
      </c>
      <c r="N91" s="76">
        <v>4108.94775390625</v>
      </c>
      <c r="O91" s="77"/>
      <c r="P91" s="78"/>
      <c r="Q91" s="78"/>
      <c r="R91" s="82"/>
      <c r="S91" s="82"/>
      <c r="T91" s="82"/>
      <c r="U91" s="82"/>
      <c r="V91" s="52"/>
      <c r="W91" s="52"/>
      <c r="X91" s="52"/>
      <c r="Y91" s="52"/>
      <c r="Z91" s="51"/>
      <c r="AA91" s="73">
        <v>91</v>
      </c>
      <c r="AB91" s="73"/>
      <c r="AC91" s="74"/>
      <c r="AD91" s="80" t="s">
        <v>1333</v>
      </c>
      <c r="AE91" s="80" t="s">
        <v>2366</v>
      </c>
      <c r="AF91" s="80" t="s">
        <v>3242</v>
      </c>
      <c r="AG91" s="80" t="s">
        <v>3929</v>
      </c>
      <c r="AH91" s="80" t="s">
        <v>4644</v>
      </c>
      <c r="AI91" s="80">
        <v>13</v>
      </c>
      <c r="AJ91" s="80">
        <v>0</v>
      </c>
      <c r="AK91" s="80">
        <v>0</v>
      </c>
      <c r="AL91" s="80">
        <v>0</v>
      </c>
      <c r="AM91" s="80" t="s">
        <v>5614</v>
      </c>
      <c r="AN91" s="102" t="str">
        <f>HYPERLINK("https://www.youtube.com/watch?v=fYUxOuWp4Q0")</f>
        <v>https://www.youtube.com/watch?v=fYUxOuWp4Q0</v>
      </c>
      <c r="AO91" s="2"/>
      <c r="AP91" s="3"/>
      <c r="AQ91" s="3"/>
      <c r="AR91" s="3"/>
      <c r="AS91" s="3"/>
    </row>
    <row r="92" spans="1:45" ht="15">
      <c r="A92" s="66" t="s">
        <v>305</v>
      </c>
      <c r="B92" s="67"/>
      <c r="C92" s="67"/>
      <c r="D92" s="68"/>
      <c r="E92" s="70"/>
      <c r="F92" s="100" t="str">
        <f>HYPERLINK("https://i.ytimg.com/vi/8egWkjYRoOs/default.jpg")</f>
        <v>https://i.ytimg.com/vi/8egWkjYRoOs/default.jpg</v>
      </c>
      <c r="G92" s="67"/>
      <c r="H92" s="71"/>
      <c r="I92" s="72"/>
      <c r="J92" s="72"/>
      <c r="K92" s="71" t="s">
        <v>1334</v>
      </c>
      <c r="L92" s="75"/>
      <c r="M92" s="76">
        <v>9638.5126953125</v>
      </c>
      <c r="N92" s="76">
        <v>4187.92626953125</v>
      </c>
      <c r="O92" s="77"/>
      <c r="P92" s="78"/>
      <c r="Q92" s="78"/>
      <c r="R92" s="82"/>
      <c r="S92" s="82"/>
      <c r="T92" s="82"/>
      <c r="U92" s="82"/>
      <c r="V92" s="52"/>
      <c r="W92" s="52"/>
      <c r="X92" s="52"/>
      <c r="Y92" s="52"/>
      <c r="Z92" s="51"/>
      <c r="AA92" s="73">
        <v>92</v>
      </c>
      <c r="AB92" s="73"/>
      <c r="AC92" s="74"/>
      <c r="AD92" s="80" t="s">
        <v>1334</v>
      </c>
      <c r="AE92" s="80" t="s">
        <v>2367</v>
      </c>
      <c r="AF92" s="80" t="s">
        <v>3243</v>
      </c>
      <c r="AG92" s="80" t="s">
        <v>3929</v>
      </c>
      <c r="AH92" s="80" t="s">
        <v>4645</v>
      </c>
      <c r="AI92" s="80">
        <v>9</v>
      </c>
      <c r="AJ92" s="80">
        <v>0</v>
      </c>
      <c r="AK92" s="80">
        <v>0</v>
      </c>
      <c r="AL92" s="80">
        <v>0</v>
      </c>
      <c r="AM92" s="80" t="s">
        <v>5614</v>
      </c>
      <c r="AN92" s="102" t="str">
        <f>HYPERLINK("https://www.youtube.com/watch?v=8egWkjYRoOs")</f>
        <v>https://www.youtube.com/watch?v=8egWkjYRoOs</v>
      </c>
      <c r="AO92" s="2"/>
      <c r="AP92" s="3"/>
      <c r="AQ92" s="3"/>
      <c r="AR92" s="3"/>
      <c r="AS92" s="3"/>
    </row>
    <row r="93" spans="1:45" ht="15">
      <c r="A93" s="66" t="s">
        <v>306</v>
      </c>
      <c r="B93" s="67"/>
      <c r="C93" s="67"/>
      <c r="D93" s="68"/>
      <c r="E93" s="70"/>
      <c r="F93" s="100" t="str">
        <f>HYPERLINK("https://i.ytimg.com/vi/DzkJ40-GP74/default.jpg")</f>
        <v>https://i.ytimg.com/vi/DzkJ40-GP74/default.jpg</v>
      </c>
      <c r="G93" s="67"/>
      <c r="H93" s="71"/>
      <c r="I93" s="72"/>
      <c r="J93" s="72"/>
      <c r="K93" s="71" t="s">
        <v>1335</v>
      </c>
      <c r="L93" s="75"/>
      <c r="M93" s="76">
        <v>9680.3056640625</v>
      </c>
      <c r="N93" s="76">
        <v>4137.92529296875</v>
      </c>
      <c r="O93" s="77"/>
      <c r="P93" s="78"/>
      <c r="Q93" s="78"/>
      <c r="R93" s="82"/>
      <c r="S93" s="82"/>
      <c r="T93" s="82"/>
      <c r="U93" s="82"/>
      <c r="V93" s="52"/>
      <c r="W93" s="52"/>
      <c r="X93" s="52"/>
      <c r="Y93" s="52"/>
      <c r="Z93" s="51"/>
      <c r="AA93" s="73">
        <v>93</v>
      </c>
      <c r="AB93" s="73"/>
      <c r="AC93" s="74"/>
      <c r="AD93" s="80" t="s">
        <v>1335</v>
      </c>
      <c r="AE93" s="80" t="s">
        <v>2368</v>
      </c>
      <c r="AF93" s="80" t="s">
        <v>3244</v>
      </c>
      <c r="AG93" s="80" t="s">
        <v>3931</v>
      </c>
      <c r="AH93" s="80" t="s">
        <v>4646</v>
      </c>
      <c r="AI93" s="80">
        <v>328077</v>
      </c>
      <c r="AJ93" s="80">
        <v>307</v>
      </c>
      <c r="AK93" s="80">
        <v>11975</v>
      </c>
      <c r="AL93" s="80">
        <v>188</v>
      </c>
      <c r="AM93" s="80" t="s">
        <v>5614</v>
      </c>
      <c r="AN93" s="102" t="str">
        <f>HYPERLINK("https://www.youtube.com/watch?v=DzkJ40-GP74")</f>
        <v>https://www.youtube.com/watch?v=DzkJ40-GP74</v>
      </c>
      <c r="AO93" s="2"/>
      <c r="AP93" s="3"/>
      <c r="AQ93" s="3"/>
      <c r="AR93" s="3"/>
      <c r="AS93" s="3"/>
    </row>
    <row r="94" spans="1:45" ht="15">
      <c r="A94" s="66" t="s">
        <v>307</v>
      </c>
      <c r="B94" s="67"/>
      <c r="C94" s="67"/>
      <c r="D94" s="68"/>
      <c r="E94" s="70"/>
      <c r="F94" s="100" t="str">
        <f>HYPERLINK("https://i.ytimg.com/vi/JQTIDZBzRB0/default.jpg")</f>
        <v>https://i.ytimg.com/vi/JQTIDZBzRB0/default.jpg</v>
      </c>
      <c r="G94" s="67"/>
      <c r="H94" s="71"/>
      <c r="I94" s="72"/>
      <c r="J94" s="72"/>
      <c r="K94" s="71" t="s">
        <v>1336</v>
      </c>
      <c r="L94" s="75"/>
      <c r="M94" s="76">
        <v>9698.33984375</v>
      </c>
      <c r="N94" s="76">
        <v>3730.387939453125</v>
      </c>
      <c r="O94" s="77"/>
      <c r="P94" s="78"/>
      <c r="Q94" s="78"/>
      <c r="R94" s="82"/>
      <c r="S94" s="82"/>
      <c r="T94" s="82"/>
      <c r="U94" s="82"/>
      <c r="V94" s="52"/>
      <c r="W94" s="52"/>
      <c r="X94" s="52"/>
      <c r="Y94" s="52"/>
      <c r="Z94" s="51"/>
      <c r="AA94" s="73">
        <v>94</v>
      </c>
      <c r="AB94" s="73"/>
      <c r="AC94" s="74"/>
      <c r="AD94" s="80" t="s">
        <v>1336</v>
      </c>
      <c r="AE94" s="80" t="s">
        <v>2369</v>
      </c>
      <c r="AF94" s="80"/>
      <c r="AG94" s="80" t="s">
        <v>3929</v>
      </c>
      <c r="AH94" s="80" t="s">
        <v>4647</v>
      </c>
      <c r="AI94" s="80">
        <v>8</v>
      </c>
      <c r="AJ94" s="80">
        <v>0</v>
      </c>
      <c r="AK94" s="80">
        <v>1</v>
      </c>
      <c r="AL94" s="80">
        <v>0</v>
      </c>
      <c r="AM94" s="80" t="s">
        <v>5614</v>
      </c>
      <c r="AN94" s="102" t="str">
        <f>HYPERLINK("https://www.youtube.com/watch?v=JQTIDZBzRB0")</f>
        <v>https://www.youtube.com/watch?v=JQTIDZBzRB0</v>
      </c>
      <c r="AO94" s="2"/>
      <c r="AP94" s="3"/>
      <c r="AQ94" s="3"/>
      <c r="AR94" s="3"/>
      <c r="AS94" s="3"/>
    </row>
    <row r="95" spans="1:45" ht="15">
      <c r="A95" s="66" t="s">
        <v>308</v>
      </c>
      <c r="B95" s="67"/>
      <c r="C95" s="67"/>
      <c r="D95" s="68"/>
      <c r="E95" s="70"/>
      <c r="F95" s="100" t="str">
        <f>HYPERLINK("https://i.ytimg.com/vi/9Muw9PgpzZo/default.jpg")</f>
        <v>https://i.ytimg.com/vi/9Muw9PgpzZo/default.jpg</v>
      </c>
      <c r="G95" s="67"/>
      <c r="H95" s="71"/>
      <c r="I95" s="72"/>
      <c r="J95" s="72"/>
      <c r="K95" s="71" t="s">
        <v>1337</v>
      </c>
      <c r="L95" s="75"/>
      <c r="M95" s="76">
        <v>9682.716796875</v>
      </c>
      <c r="N95" s="76">
        <v>3727.3134765625</v>
      </c>
      <c r="O95" s="77"/>
      <c r="P95" s="78"/>
      <c r="Q95" s="78"/>
      <c r="R95" s="82"/>
      <c r="S95" s="82"/>
      <c r="T95" s="82"/>
      <c r="U95" s="82"/>
      <c r="V95" s="52"/>
      <c r="W95" s="52"/>
      <c r="X95" s="52"/>
      <c r="Y95" s="52"/>
      <c r="Z95" s="51"/>
      <c r="AA95" s="73">
        <v>95</v>
      </c>
      <c r="AB95" s="73"/>
      <c r="AC95" s="74"/>
      <c r="AD95" s="80" t="s">
        <v>1337</v>
      </c>
      <c r="AE95" s="80" t="s">
        <v>2369</v>
      </c>
      <c r="AF95" s="80"/>
      <c r="AG95" s="80" t="s">
        <v>3929</v>
      </c>
      <c r="AH95" s="80" t="s">
        <v>4648</v>
      </c>
      <c r="AI95" s="80">
        <v>14</v>
      </c>
      <c r="AJ95" s="80">
        <v>0</v>
      </c>
      <c r="AK95" s="80">
        <v>1</v>
      </c>
      <c r="AL95" s="80">
        <v>0</v>
      </c>
      <c r="AM95" s="80" t="s">
        <v>5614</v>
      </c>
      <c r="AN95" s="102" t="str">
        <f>HYPERLINK("https://www.youtube.com/watch?v=9Muw9PgpzZo")</f>
        <v>https://www.youtube.com/watch?v=9Muw9PgpzZo</v>
      </c>
      <c r="AO95" s="2"/>
      <c r="AP95" s="3"/>
      <c r="AQ95" s="3"/>
      <c r="AR95" s="3"/>
      <c r="AS95" s="3"/>
    </row>
    <row r="96" spans="1:45" ht="15">
      <c r="A96" s="66" t="s">
        <v>309</v>
      </c>
      <c r="B96" s="67"/>
      <c r="C96" s="67"/>
      <c r="D96" s="68"/>
      <c r="E96" s="70"/>
      <c r="F96" s="100" t="str">
        <f>HYPERLINK("https://i.ytimg.com/vi/YroBj5tCKXc/default.jpg")</f>
        <v>https://i.ytimg.com/vi/YroBj5tCKXc/default.jpg</v>
      </c>
      <c r="G96" s="67"/>
      <c r="H96" s="71"/>
      <c r="I96" s="72"/>
      <c r="J96" s="72"/>
      <c r="K96" s="71" t="s">
        <v>1338</v>
      </c>
      <c r="L96" s="75"/>
      <c r="M96" s="76">
        <v>9635.578125</v>
      </c>
      <c r="N96" s="76">
        <v>4339.921875</v>
      </c>
      <c r="O96" s="77"/>
      <c r="P96" s="78"/>
      <c r="Q96" s="78"/>
      <c r="R96" s="82"/>
      <c r="S96" s="82"/>
      <c r="T96" s="82"/>
      <c r="U96" s="82"/>
      <c r="V96" s="52"/>
      <c r="W96" s="52"/>
      <c r="X96" s="52"/>
      <c r="Y96" s="52"/>
      <c r="Z96" s="51"/>
      <c r="AA96" s="73">
        <v>96</v>
      </c>
      <c r="AB96" s="73"/>
      <c r="AC96" s="74"/>
      <c r="AD96" s="80" t="s">
        <v>1338</v>
      </c>
      <c r="AE96" s="80" t="s">
        <v>2370</v>
      </c>
      <c r="AF96" s="80" t="s">
        <v>3245</v>
      </c>
      <c r="AG96" s="80" t="s">
        <v>3929</v>
      </c>
      <c r="AH96" s="80" t="s">
        <v>4649</v>
      </c>
      <c r="AI96" s="80">
        <v>34</v>
      </c>
      <c r="AJ96" s="80">
        <v>0</v>
      </c>
      <c r="AK96" s="80">
        <v>2</v>
      </c>
      <c r="AL96" s="80">
        <v>0</v>
      </c>
      <c r="AM96" s="80" t="s">
        <v>5614</v>
      </c>
      <c r="AN96" s="102" t="str">
        <f>HYPERLINK("https://www.youtube.com/watch?v=YroBj5tCKXc")</f>
        <v>https://www.youtube.com/watch?v=YroBj5tCKXc</v>
      </c>
      <c r="AO96" s="2"/>
      <c r="AP96" s="3"/>
      <c r="AQ96" s="3"/>
      <c r="AR96" s="3"/>
      <c r="AS96" s="3"/>
    </row>
    <row r="97" spans="1:45" ht="15">
      <c r="A97" s="66" t="s">
        <v>310</v>
      </c>
      <c r="B97" s="67"/>
      <c r="C97" s="67"/>
      <c r="D97" s="68"/>
      <c r="E97" s="70"/>
      <c r="F97" s="100" t="str">
        <f>HYPERLINK("https://i.ytimg.com/vi/xLJj8jOsAHQ/default.jpg")</f>
        <v>https://i.ytimg.com/vi/xLJj8jOsAHQ/default.jpg</v>
      </c>
      <c r="G97" s="67"/>
      <c r="H97" s="71"/>
      <c r="I97" s="72"/>
      <c r="J97" s="72"/>
      <c r="K97" s="71" t="s">
        <v>1339</v>
      </c>
      <c r="L97" s="75"/>
      <c r="M97" s="76">
        <v>9664.888671875</v>
      </c>
      <c r="N97" s="76">
        <v>3682.89404296875</v>
      </c>
      <c r="O97" s="77"/>
      <c r="P97" s="78"/>
      <c r="Q97" s="78"/>
      <c r="R97" s="82"/>
      <c r="S97" s="82"/>
      <c r="T97" s="82"/>
      <c r="U97" s="82"/>
      <c r="V97" s="52"/>
      <c r="W97" s="52"/>
      <c r="X97" s="52"/>
      <c r="Y97" s="52"/>
      <c r="Z97" s="51"/>
      <c r="AA97" s="73">
        <v>97</v>
      </c>
      <c r="AB97" s="73"/>
      <c r="AC97" s="74"/>
      <c r="AD97" s="80" t="s">
        <v>1339</v>
      </c>
      <c r="AE97" s="80" t="s">
        <v>2371</v>
      </c>
      <c r="AF97" s="80" t="s">
        <v>3246</v>
      </c>
      <c r="AG97" s="80" t="s">
        <v>3929</v>
      </c>
      <c r="AH97" s="80" t="s">
        <v>4650</v>
      </c>
      <c r="AI97" s="80">
        <v>13</v>
      </c>
      <c r="AJ97" s="80">
        <v>0</v>
      </c>
      <c r="AK97" s="80">
        <v>1</v>
      </c>
      <c r="AL97" s="80">
        <v>0</v>
      </c>
      <c r="AM97" s="80" t="s">
        <v>5614</v>
      </c>
      <c r="AN97" s="102" t="str">
        <f>HYPERLINK("https://www.youtube.com/watch?v=xLJj8jOsAHQ")</f>
        <v>https://www.youtube.com/watch?v=xLJj8jOsAHQ</v>
      </c>
      <c r="AO97" s="2"/>
      <c r="AP97" s="3"/>
      <c r="AQ97" s="3"/>
      <c r="AR97" s="3"/>
      <c r="AS97" s="3"/>
    </row>
    <row r="98" spans="1:45" ht="15">
      <c r="A98" s="66" t="s">
        <v>311</v>
      </c>
      <c r="B98" s="67"/>
      <c r="C98" s="67"/>
      <c r="D98" s="68"/>
      <c r="E98" s="70"/>
      <c r="F98" s="100" t="str">
        <f>HYPERLINK("https://i.ytimg.com/vi/RuQe92qUUYo/default.jpg")</f>
        <v>https://i.ytimg.com/vi/RuQe92qUUYo/default.jpg</v>
      </c>
      <c r="G98" s="67"/>
      <c r="H98" s="71"/>
      <c r="I98" s="72"/>
      <c r="J98" s="72"/>
      <c r="K98" s="71" t="s">
        <v>1340</v>
      </c>
      <c r="L98" s="75"/>
      <c r="M98" s="76">
        <v>9780.3291015625</v>
      </c>
      <c r="N98" s="76">
        <v>4088.028564453125</v>
      </c>
      <c r="O98" s="77"/>
      <c r="P98" s="78"/>
      <c r="Q98" s="78"/>
      <c r="R98" s="82"/>
      <c r="S98" s="82"/>
      <c r="T98" s="82"/>
      <c r="U98" s="82"/>
      <c r="V98" s="52"/>
      <c r="W98" s="52"/>
      <c r="X98" s="52"/>
      <c r="Y98" s="52"/>
      <c r="Z98" s="51"/>
      <c r="AA98" s="73">
        <v>98</v>
      </c>
      <c r="AB98" s="73"/>
      <c r="AC98" s="74"/>
      <c r="AD98" s="80" t="s">
        <v>1340</v>
      </c>
      <c r="AE98" s="80" t="s">
        <v>2372</v>
      </c>
      <c r="AF98" s="80" t="s">
        <v>3247</v>
      </c>
      <c r="AG98" s="80" t="s">
        <v>3929</v>
      </c>
      <c r="AH98" s="80" t="s">
        <v>4651</v>
      </c>
      <c r="AI98" s="80">
        <v>131360</v>
      </c>
      <c r="AJ98" s="80">
        <v>0</v>
      </c>
      <c r="AK98" s="80">
        <v>2331</v>
      </c>
      <c r="AL98" s="80">
        <v>151</v>
      </c>
      <c r="AM98" s="80" t="s">
        <v>5614</v>
      </c>
      <c r="AN98" s="102" t="str">
        <f>HYPERLINK("https://www.youtube.com/watch?v=RuQe92qUUYo")</f>
        <v>https://www.youtube.com/watch?v=RuQe92qUUYo</v>
      </c>
      <c r="AO98" s="2"/>
      <c r="AP98" s="3"/>
      <c r="AQ98" s="3"/>
      <c r="AR98" s="3"/>
      <c r="AS98" s="3"/>
    </row>
    <row r="99" spans="1:45" ht="15">
      <c r="A99" s="66" t="s">
        <v>312</v>
      </c>
      <c r="B99" s="67"/>
      <c r="C99" s="67"/>
      <c r="D99" s="68"/>
      <c r="E99" s="70"/>
      <c r="F99" s="100" t="str">
        <f>HYPERLINK("https://i.ytimg.com/vi/KCMISpgtxoU/default.jpg")</f>
        <v>https://i.ytimg.com/vi/KCMISpgtxoU/default.jpg</v>
      </c>
      <c r="G99" s="67"/>
      <c r="H99" s="71"/>
      <c r="I99" s="72"/>
      <c r="J99" s="72"/>
      <c r="K99" s="71" t="s">
        <v>1341</v>
      </c>
      <c r="L99" s="75"/>
      <c r="M99" s="76">
        <v>9718.2373046875</v>
      </c>
      <c r="N99" s="76">
        <v>4229.19189453125</v>
      </c>
      <c r="O99" s="77"/>
      <c r="P99" s="78"/>
      <c r="Q99" s="78"/>
      <c r="R99" s="82"/>
      <c r="S99" s="82"/>
      <c r="T99" s="82"/>
      <c r="U99" s="82"/>
      <c r="V99" s="52"/>
      <c r="W99" s="52"/>
      <c r="X99" s="52"/>
      <c r="Y99" s="52"/>
      <c r="Z99" s="51"/>
      <c r="AA99" s="73">
        <v>99</v>
      </c>
      <c r="AB99" s="73"/>
      <c r="AC99" s="74"/>
      <c r="AD99" s="80" t="s">
        <v>1341</v>
      </c>
      <c r="AE99" s="80" t="s">
        <v>2373</v>
      </c>
      <c r="AF99" s="80" t="s">
        <v>3248</v>
      </c>
      <c r="AG99" s="80" t="s">
        <v>3932</v>
      </c>
      <c r="AH99" s="80" t="s">
        <v>4652</v>
      </c>
      <c r="AI99" s="80">
        <v>70055</v>
      </c>
      <c r="AJ99" s="80">
        <v>40</v>
      </c>
      <c r="AK99" s="80">
        <v>1494</v>
      </c>
      <c r="AL99" s="80">
        <v>33</v>
      </c>
      <c r="AM99" s="80" t="s">
        <v>5614</v>
      </c>
      <c r="AN99" s="102" t="str">
        <f>HYPERLINK("https://www.youtube.com/watch?v=KCMISpgtxoU")</f>
        <v>https://www.youtube.com/watch?v=KCMISpgtxoU</v>
      </c>
      <c r="AO99" s="2"/>
      <c r="AP99" s="3"/>
      <c r="AQ99" s="3"/>
      <c r="AR99" s="3"/>
      <c r="AS99" s="3"/>
    </row>
    <row r="100" spans="1:45" ht="15">
      <c r="A100" s="66" t="s">
        <v>313</v>
      </c>
      <c r="B100" s="67"/>
      <c r="C100" s="67"/>
      <c r="D100" s="68"/>
      <c r="E100" s="70"/>
      <c r="F100" s="100" t="str">
        <f>HYPERLINK("https://i.ytimg.com/vi/q3heieIo8wU/default.jpg")</f>
        <v>https://i.ytimg.com/vi/q3heieIo8wU/default.jpg</v>
      </c>
      <c r="G100" s="67"/>
      <c r="H100" s="71"/>
      <c r="I100" s="72"/>
      <c r="J100" s="72"/>
      <c r="K100" s="71" t="s">
        <v>1342</v>
      </c>
      <c r="L100" s="75"/>
      <c r="M100" s="76">
        <v>9678.2861328125</v>
      </c>
      <c r="N100" s="76">
        <v>4019.00244140625</v>
      </c>
      <c r="O100" s="77"/>
      <c r="P100" s="78"/>
      <c r="Q100" s="78"/>
      <c r="R100" s="82"/>
      <c r="S100" s="82"/>
      <c r="T100" s="82"/>
      <c r="U100" s="82"/>
      <c r="V100" s="52"/>
      <c r="W100" s="52"/>
      <c r="X100" s="52"/>
      <c r="Y100" s="52"/>
      <c r="Z100" s="51"/>
      <c r="AA100" s="73">
        <v>100</v>
      </c>
      <c r="AB100" s="73"/>
      <c r="AC100" s="74"/>
      <c r="AD100" s="80" t="s">
        <v>1342</v>
      </c>
      <c r="AE100" s="80" t="s">
        <v>2374</v>
      </c>
      <c r="AF100" s="80"/>
      <c r="AG100" s="80" t="s">
        <v>3929</v>
      </c>
      <c r="AH100" s="80" t="s">
        <v>4653</v>
      </c>
      <c r="AI100" s="80">
        <v>28</v>
      </c>
      <c r="AJ100" s="80">
        <v>0</v>
      </c>
      <c r="AK100" s="80">
        <v>1</v>
      </c>
      <c r="AL100" s="80">
        <v>0</v>
      </c>
      <c r="AM100" s="80" t="s">
        <v>5614</v>
      </c>
      <c r="AN100" s="102" t="str">
        <f>HYPERLINK("https://www.youtube.com/watch?v=q3heieIo8wU")</f>
        <v>https://www.youtube.com/watch?v=q3heieIo8wU</v>
      </c>
      <c r="AO100" s="2"/>
      <c r="AP100" s="3"/>
      <c r="AQ100" s="3"/>
      <c r="AR100" s="3"/>
      <c r="AS100" s="3"/>
    </row>
    <row r="101" spans="1:45" ht="15">
      <c r="A101" s="66" t="s">
        <v>185</v>
      </c>
      <c r="B101" s="67"/>
      <c r="C101" s="67"/>
      <c r="D101" s="68"/>
      <c r="E101" s="70"/>
      <c r="F101" s="100" t="str">
        <f>HYPERLINK("https://i.ytimg.com/vi/F5fU7NnBTZQ/default.jpg")</f>
        <v>https://i.ytimg.com/vi/F5fU7NnBTZQ/default.jpg</v>
      </c>
      <c r="G101" s="67"/>
      <c r="H101" s="71"/>
      <c r="I101" s="72"/>
      <c r="J101" s="72"/>
      <c r="K101" s="71" t="s">
        <v>1343</v>
      </c>
      <c r="L101" s="75"/>
      <c r="M101" s="76">
        <v>7038.7587890625</v>
      </c>
      <c r="N101" s="76">
        <v>7007.11865234375</v>
      </c>
      <c r="O101" s="77"/>
      <c r="P101" s="78"/>
      <c r="Q101" s="78"/>
      <c r="R101" s="82"/>
      <c r="S101" s="82"/>
      <c r="T101" s="82"/>
      <c r="U101" s="82"/>
      <c r="V101" s="52"/>
      <c r="W101" s="52"/>
      <c r="X101" s="52"/>
      <c r="Y101" s="52"/>
      <c r="Z101" s="51"/>
      <c r="AA101" s="73">
        <v>101</v>
      </c>
      <c r="AB101" s="73"/>
      <c r="AC101" s="74"/>
      <c r="AD101" s="80" t="s">
        <v>1343</v>
      </c>
      <c r="AE101" s="80"/>
      <c r="AF101" s="80"/>
      <c r="AG101" s="80" t="s">
        <v>3933</v>
      </c>
      <c r="AH101" s="80" t="s">
        <v>4654</v>
      </c>
      <c r="AI101" s="80">
        <v>3</v>
      </c>
      <c r="AJ101" s="80">
        <v>0</v>
      </c>
      <c r="AK101" s="80">
        <v>0</v>
      </c>
      <c r="AL101" s="80">
        <v>0</v>
      </c>
      <c r="AM101" s="80" t="s">
        <v>5614</v>
      </c>
      <c r="AN101" s="102" t="str">
        <f>HYPERLINK("https://www.youtube.com/watch?v=F5fU7NnBTZQ")</f>
        <v>https://www.youtube.com/watch?v=F5fU7NnBTZQ</v>
      </c>
      <c r="AO101" s="2"/>
      <c r="AP101" s="3"/>
      <c r="AQ101" s="3"/>
      <c r="AR101" s="3"/>
      <c r="AS101" s="3"/>
    </row>
    <row r="102" spans="1:45" ht="15">
      <c r="A102" s="66" t="s">
        <v>314</v>
      </c>
      <c r="B102" s="67"/>
      <c r="C102" s="67"/>
      <c r="D102" s="68"/>
      <c r="E102" s="70"/>
      <c r="F102" s="100" t="str">
        <f>HYPERLINK("https://i.ytimg.com/vi/5DC7Nr4LTp8/default.jpg")</f>
        <v>https://i.ytimg.com/vi/5DC7Nr4LTp8/default.jpg</v>
      </c>
      <c r="G102" s="67"/>
      <c r="H102" s="71"/>
      <c r="I102" s="72"/>
      <c r="J102" s="72"/>
      <c r="K102" s="71" t="s">
        <v>1344</v>
      </c>
      <c r="L102" s="75"/>
      <c r="M102" s="76">
        <v>7641.3564453125</v>
      </c>
      <c r="N102" s="76">
        <v>8417.359375</v>
      </c>
      <c r="O102" s="77"/>
      <c r="P102" s="78"/>
      <c r="Q102" s="78"/>
      <c r="R102" s="82"/>
      <c r="S102" s="82"/>
      <c r="T102" s="82"/>
      <c r="U102" s="82"/>
      <c r="V102" s="52"/>
      <c r="W102" s="52"/>
      <c r="X102" s="52"/>
      <c r="Y102" s="52"/>
      <c r="Z102" s="51"/>
      <c r="AA102" s="73">
        <v>102</v>
      </c>
      <c r="AB102" s="73"/>
      <c r="AC102" s="74"/>
      <c r="AD102" s="80" t="s">
        <v>1344</v>
      </c>
      <c r="AE102" s="80" t="s">
        <v>2375</v>
      </c>
      <c r="AF102" s="80" t="s">
        <v>3249</v>
      </c>
      <c r="AG102" s="80" t="s">
        <v>3934</v>
      </c>
      <c r="AH102" s="80" t="s">
        <v>4655</v>
      </c>
      <c r="AI102" s="80">
        <v>1385255</v>
      </c>
      <c r="AJ102" s="80">
        <v>2161</v>
      </c>
      <c r="AK102" s="80">
        <v>45006</v>
      </c>
      <c r="AL102" s="80">
        <v>1034</v>
      </c>
      <c r="AM102" s="80" t="s">
        <v>5614</v>
      </c>
      <c r="AN102" s="102" t="str">
        <f>HYPERLINK("https://www.youtube.com/watch?v=5DC7Nr4LTp8")</f>
        <v>https://www.youtube.com/watch?v=5DC7Nr4LTp8</v>
      </c>
      <c r="AO102" s="2"/>
      <c r="AP102" s="3"/>
      <c r="AQ102" s="3"/>
      <c r="AR102" s="3"/>
      <c r="AS102" s="3"/>
    </row>
    <row r="103" spans="1:45" ht="15">
      <c r="A103" s="66" t="s">
        <v>315</v>
      </c>
      <c r="B103" s="67"/>
      <c r="C103" s="67"/>
      <c r="D103" s="68"/>
      <c r="E103" s="70"/>
      <c r="F103" s="100" t="str">
        <f>HYPERLINK("https://i.ytimg.com/vi/4372QYiPZB4/default.jpg")</f>
        <v>https://i.ytimg.com/vi/4372QYiPZB4/default.jpg</v>
      </c>
      <c r="G103" s="67"/>
      <c r="H103" s="71"/>
      <c r="I103" s="72"/>
      <c r="J103" s="72"/>
      <c r="K103" s="71" t="s">
        <v>1345</v>
      </c>
      <c r="L103" s="75"/>
      <c r="M103" s="76">
        <v>8001.7705078125</v>
      </c>
      <c r="N103" s="76">
        <v>8295.9951171875</v>
      </c>
      <c r="O103" s="77"/>
      <c r="P103" s="78"/>
      <c r="Q103" s="78"/>
      <c r="R103" s="82"/>
      <c r="S103" s="82"/>
      <c r="T103" s="82"/>
      <c r="U103" s="82"/>
      <c r="V103" s="52"/>
      <c r="W103" s="52"/>
      <c r="X103" s="52"/>
      <c r="Y103" s="52"/>
      <c r="Z103" s="51"/>
      <c r="AA103" s="73">
        <v>103</v>
      </c>
      <c r="AB103" s="73"/>
      <c r="AC103" s="74"/>
      <c r="AD103" s="80" t="s">
        <v>1345</v>
      </c>
      <c r="AE103" s="80" t="s">
        <v>2376</v>
      </c>
      <c r="AF103" s="80" t="s">
        <v>3250</v>
      </c>
      <c r="AG103" s="80" t="s">
        <v>3935</v>
      </c>
      <c r="AH103" s="80" t="s">
        <v>4656</v>
      </c>
      <c r="AI103" s="80">
        <v>439764</v>
      </c>
      <c r="AJ103" s="80">
        <v>1194</v>
      </c>
      <c r="AK103" s="80">
        <v>21624</v>
      </c>
      <c r="AL103" s="80">
        <v>299</v>
      </c>
      <c r="AM103" s="80" t="s">
        <v>5614</v>
      </c>
      <c r="AN103" s="102" t="str">
        <f>HYPERLINK("https://www.youtube.com/watch?v=4372QYiPZB4")</f>
        <v>https://www.youtube.com/watch?v=4372QYiPZB4</v>
      </c>
      <c r="AO103" s="2"/>
      <c r="AP103" s="3"/>
      <c r="AQ103" s="3"/>
      <c r="AR103" s="3"/>
      <c r="AS103" s="3"/>
    </row>
    <row r="104" spans="1:45" ht="15">
      <c r="A104" s="66" t="s">
        <v>316</v>
      </c>
      <c r="B104" s="67"/>
      <c r="C104" s="67"/>
      <c r="D104" s="68"/>
      <c r="E104" s="70"/>
      <c r="F104" s="100" t="str">
        <f>HYPERLINK("https://i.ytimg.com/vi/z53JjZL5WsI/default.jpg")</f>
        <v>https://i.ytimg.com/vi/z53JjZL5WsI/default.jpg</v>
      </c>
      <c r="G104" s="67"/>
      <c r="H104" s="71"/>
      <c r="I104" s="72"/>
      <c r="J104" s="72"/>
      <c r="K104" s="71" t="s">
        <v>1346</v>
      </c>
      <c r="L104" s="75"/>
      <c r="M104" s="76">
        <v>7441.7373046875</v>
      </c>
      <c r="N104" s="76">
        <v>8466.3251953125</v>
      </c>
      <c r="O104" s="77"/>
      <c r="P104" s="78"/>
      <c r="Q104" s="78"/>
      <c r="R104" s="82"/>
      <c r="S104" s="82"/>
      <c r="T104" s="82"/>
      <c r="U104" s="82"/>
      <c r="V104" s="52"/>
      <c r="W104" s="52"/>
      <c r="X104" s="52"/>
      <c r="Y104" s="52"/>
      <c r="Z104" s="51"/>
      <c r="AA104" s="73">
        <v>104</v>
      </c>
      <c r="AB104" s="73"/>
      <c r="AC104" s="74"/>
      <c r="AD104" s="80" t="s">
        <v>1346</v>
      </c>
      <c r="AE104" s="80" t="s">
        <v>2377</v>
      </c>
      <c r="AF104" s="80"/>
      <c r="AG104" s="80" t="s">
        <v>3936</v>
      </c>
      <c r="AH104" s="80" t="s">
        <v>4657</v>
      </c>
      <c r="AI104" s="80">
        <v>619045</v>
      </c>
      <c r="AJ104" s="80">
        <v>1511</v>
      </c>
      <c r="AK104" s="80">
        <v>12642</v>
      </c>
      <c r="AL104" s="80">
        <v>183</v>
      </c>
      <c r="AM104" s="80" t="s">
        <v>5614</v>
      </c>
      <c r="AN104" s="102" t="str">
        <f>HYPERLINK("https://www.youtube.com/watch?v=z53JjZL5WsI")</f>
        <v>https://www.youtube.com/watch?v=z53JjZL5WsI</v>
      </c>
      <c r="AO104" s="2"/>
      <c r="AP104" s="3"/>
      <c r="AQ104" s="3"/>
      <c r="AR104" s="3"/>
      <c r="AS104" s="3"/>
    </row>
    <row r="105" spans="1:45" ht="15">
      <c r="A105" s="66" t="s">
        <v>317</v>
      </c>
      <c r="B105" s="67"/>
      <c r="C105" s="67"/>
      <c r="D105" s="68"/>
      <c r="E105" s="70"/>
      <c r="F105" s="100" t="str">
        <f>HYPERLINK("https://i.ytimg.com/vi/3oNQpM8Twh8/default.jpg")</f>
        <v>https://i.ytimg.com/vi/3oNQpM8Twh8/default.jpg</v>
      </c>
      <c r="G105" s="67"/>
      <c r="H105" s="71"/>
      <c r="I105" s="72"/>
      <c r="J105" s="72"/>
      <c r="K105" s="71" t="s">
        <v>1347</v>
      </c>
      <c r="L105" s="75"/>
      <c r="M105" s="76">
        <v>7286.4658203125</v>
      </c>
      <c r="N105" s="76">
        <v>8512.400390625</v>
      </c>
      <c r="O105" s="77"/>
      <c r="P105" s="78"/>
      <c r="Q105" s="78"/>
      <c r="R105" s="82"/>
      <c r="S105" s="82"/>
      <c r="T105" s="82"/>
      <c r="U105" s="82"/>
      <c r="V105" s="52"/>
      <c r="W105" s="52"/>
      <c r="X105" s="52"/>
      <c r="Y105" s="52"/>
      <c r="Z105" s="51"/>
      <c r="AA105" s="73">
        <v>105</v>
      </c>
      <c r="AB105" s="73"/>
      <c r="AC105" s="74"/>
      <c r="AD105" s="80" t="s">
        <v>1347</v>
      </c>
      <c r="AE105" s="80" t="s">
        <v>2378</v>
      </c>
      <c r="AF105" s="80" t="s">
        <v>3251</v>
      </c>
      <c r="AG105" s="80" t="s">
        <v>3937</v>
      </c>
      <c r="AH105" s="80" t="s">
        <v>4658</v>
      </c>
      <c r="AI105" s="80">
        <v>383460</v>
      </c>
      <c r="AJ105" s="80">
        <v>627</v>
      </c>
      <c r="AK105" s="80">
        <v>19353</v>
      </c>
      <c r="AL105" s="80">
        <v>82</v>
      </c>
      <c r="AM105" s="80" t="s">
        <v>5614</v>
      </c>
      <c r="AN105" s="102" t="str">
        <f>HYPERLINK("https://www.youtube.com/watch?v=3oNQpM8Twh8")</f>
        <v>https://www.youtube.com/watch?v=3oNQpM8Twh8</v>
      </c>
      <c r="AO105" s="2"/>
      <c r="AP105" s="3"/>
      <c r="AQ105" s="3"/>
      <c r="AR105" s="3"/>
      <c r="AS105" s="3"/>
    </row>
    <row r="106" spans="1:45" ht="15">
      <c r="A106" s="66" t="s">
        <v>318</v>
      </c>
      <c r="B106" s="67"/>
      <c r="C106" s="67"/>
      <c r="D106" s="68"/>
      <c r="E106" s="70"/>
      <c r="F106" s="100" t="str">
        <f>HYPERLINK("https://i.ytimg.com/vi/3Gc62cZgABA/default.jpg")</f>
        <v>https://i.ytimg.com/vi/3Gc62cZgABA/default.jpg</v>
      </c>
      <c r="G106" s="67"/>
      <c r="H106" s="71"/>
      <c r="I106" s="72"/>
      <c r="J106" s="72"/>
      <c r="K106" s="71" t="s">
        <v>1348</v>
      </c>
      <c r="L106" s="75"/>
      <c r="M106" s="76">
        <v>7717.92626953125</v>
      </c>
      <c r="N106" s="76">
        <v>8400.62890625</v>
      </c>
      <c r="O106" s="77"/>
      <c r="P106" s="78"/>
      <c r="Q106" s="78"/>
      <c r="R106" s="82"/>
      <c r="S106" s="82"/>
      <c r="T106" s="82"/>
      <c r="U106" s="82"/>
      <c r="V106" s="52"/>
      <c r="W106" s="52"/>
      <c r="X106" s="52"/>
      <c r="Y106" s="52"/>
      <c r="Z106" s="51"/>
      <c r="AA106" s="73">
        <v>106</v>
      </c>
      <c r="AB106" s="73"/>
      <c r="AC106" s="74"/>
      <c r="AD106" s="80" t="s">
        <v>1348</v>
      </c>
      <c r="AE106" s="80" t="s">
        <v>2379</v>
      </c>
      <c r="AF106" s="80" t="s">
        <v>3252</v>
      </c>
      <c r="AG106" s="80" t="s">
        <v>3938</v>
      </c>
      <c r="AH106" s="80" t="s">
        <v>4659</v>
      </c>
      <c r="AI106" s="80">
        <v>2131652</v>
      </c>
      <c r="AJ106" s="80">
        <v>7132</v>
      </c>
      <c r="AK106" s="80">
        <v>23609</v>
      </c>
      <c r="AL106" s="80">
        <v>2537</v>
      </c>
      <c r="AM106" s="80" t="s">
        <v>5614</v>
      </c>
      <c r="AN106" s="102" t="str">
        <f>HYPERLINK("https://www.youtube.com/watch?v=3Gc62cZgABA")</f>
        <v>https://www.youtube.com/watch?v=3Gc62cZgABA</v>
      </c>
      <c r="AO106" s="2"/>
      <c r="AP106" s="3"/>
      <c r="AQ106" s="3"/>
      <c r="AR106" s="3"/>
      <c r="AS106" s="3"/>
    </row>
    <row r="107" spans="1:45" ht="15">
      <c r="A107" s="66" t="s">
        <v>319</v>
      </c>
      <c r="B107" s="67"/>
      <c r="C107" s="67"/>
      <c r="D107" s="68"/>
      <c r="E107" s="70"/>
      <c r="F107" s="100" t="str">
        <f>HYPERLINK("https://i.ytimg.com/vi/OJDZsM_VZu4/default.jpg")</f>
        <v>https://i.ytimg.com/vi/OJDZsM_VZu4/default.jpg</v>
      </c>
      <c r="G107" s="67"/>
      <c r="H107" s="71"/>
      <c r="I107" s="72"/>
      <c r="J107" s="72"/>
      <c r="K107" s="71" t="s">
        <v>1349</v>
      </c>
      <c r="L107" s="75"/>
      <c r="M107" s="76">
        <v>7240.9423828125</v>
      </c>
      <c r="N107" s="76">
        <v>7068.84375</v>
      </c>
      <c r="O107" s="77"/>
      <c r="P107" s="78"/>
      <c r="Q107" s="78"/>
      <c r="R107" s="82"/>
      <c r="S107" s="82"/>
      <c r="T107" s="82"/>
      <c r="U107" s="82"/>
      <c r="V107" s="52"/>
      <c r="W107" s="52"/>
      <c r="X107" s="52"/>
      <c r="Y107" s="52"/>
      <c r="Z107" s="51"/>
      <c r="AA107" s="73">
        <v>107</v>
      </c>
      <c r="AB107" s="73"/>
      <c r="AC107" s="74"/>
      <c r="AD107" s="80" t="s">
        <v>1349</v>
      </c>
      <c r="AE107" s="80" t="s">
        <v>2380</v>
      </c>
      <c r="AF107" s="80" t="s">
        <v>3253</v>
      </c>
      <c r="AG107" s="80" t="s">
        <v>3939</v>
      </c>
      <c r="AH107" s="80" t="s">
        <v>4660</v>
      </c>
      <c r="AI107" s="80">
        <v>6967</v>
      </c>
      <c r="AJ107" s="80">
        <v>19</v>
      </c>
      <c r="AK107" s="80">
        <v>217</v>
      </c>
      <c r="AL107" s="80">
        <v>6</v>
      </c>
      <c r="AM107" s="80" t="s">
        <v>5614</v>
      </c>
      <c r="AN107" s="102" t="str">
        <f>HYPERLINK("https://www.youtube.com/watch?v=OJDZsM_VZu4")</f>
        <v>https://www.youtube.com/watch?v=OJDZsM_VZu4</v>
      </c>
      <c r="AO107" s="2"/>
      <c r="AP107" s="3"/>
      <c r="AQ107" s="3"/>
      <c r="AR107" s="3"/>
      <c r="AS107" s="3"/>
    </row>
    <row r="108" spans="1:45" ht="15">
      <c r="A108" s="66" t="s">
        <v>320</v>
      </c>
      <c r="B108" s="67"/>
      <c r="C108" s="67"/>
      <c r="D108" s="68"/>
      <c r="E108" s="70"/>
      <c r="F108" s="100" t="str">
        <f>HYPERLINK("https://i.ytimg.com/vi/X4I_S6ecI58/default.jpg")</f>
        <v>https://i.ytimg.com/vi/X4I_S6ecI58/default.jpg</v>
      </c>
      <c r="G108" s="67"/>
      <c r="H108" s="71"/>
      <c r="I108" s="72"/>
      <c r="J108" s="72"/>
      <c r="K108" s="71" t="s">
        <v>1350</v>
      </c>
      <c r="L108" s="75"/>
      <c r="M108" s="76">
        <v>7344.669921875</v>
      </c>
      <c r="N108" s="76">
        <v>7032.013671875</v>
      </c>
      <c r="O108" s="77"/>
      <c r="P108" s="78"/>
      <c r="Q108" s="78"/>
      <c r="R108" s="82"/>
      <c r="S108" s="82"/>
      <c r="T108" s="82"/>
      <c r="U108" s="82"/>
      <c r="V108" s="52"/>
      <c r="W108" s="52"/>
      <c r="X108" s="52"/>
      <c r="Y108" s="52"/>
      <c r="Z108" s="51"/>
      <c r="AA108" s="73">
        <v>108</v>
      </c>
      <c r="AB108" s="73"/>
      <c r="AC108" s="74"/>
      <c r="AD108" s="80" t="s">
        <v>1350</v>
      </c>
      <c r="AE108" s="80" t="s">
        <v>2381</v>
      </c>
      <c r="AF108" s="80" t="s">
        <v>3254</v>
      </c>
      <c r="AG108" s="80" t="s">
        <v>3940</v>
      </c>
      <c r="AH108" s="80" t="s">
        <v>4661</v>
      </c>
      <c r="AI108" s="80">
        <v>1875</v>
      </c>
      <c r="AJ108" s="80">
        <v>5</v>
      </c>
      <c r="AK108" s="80">
        <v>112</v>
      </c>
      <c r="AL108" s="80">
        <v>1</v>
      </c>
      <c r="AM108" s="80" t="s">
        <v>5614</v>
      </c>
      <c r="AN108" s="102" t="str">
        <f>HYPERLINK("https://www.youtube.com/watch?v=X4I_S6ecI58")</f>
        <v>https://www.youtube.com/watch?v=X4I_S6ecI58</v>
      </c>
      <c r="AO108" s="2"/>
      <c r="AP108" s="3"/>
      <c r="AQ108" s="3"/>
      <c r="AR108" s="3"/>
      <c r="AS108" s="3"/>
    </row>
    <row r="109" spans="1:45" ht="15">
      <c r="A109" s="66" t="s">
        <v>208</v>
      </c>
      <c r="B109" s="67"/>
      <c r="C109" s="67"/>
      <c r="D109" s="68"/>
      <c r="E109" s="70"/>
      <c r="F109" s="100" t="str">
        <f>HYPERLINK("https://i.ytimg.com/vi/v1GoNzwye5w/default.jpg")</f>
        <v>https://i.ytimg.com/vi/v1GoNzwye5w/default.jpg</v>
      </c>
      <c r="G109" s="67"/>
      <c r="H109" s="71"/>
      <c r="I109" s="72"/>
      <c r="J109" s="72"/>
      <c r="K109" s="71" t="s">
        <v>1351</v>
      </c>
      <c r="L109" s="75"/>
      <c r="M109" s="76">
        <v>6683.9951171875</v>
      </c>
      <c r="N109" s="76">
        <v>4982.947265625</v>
      </c>
      <c r="O109" s="77"/>
      <c r="P109" s="78"/>
      <c r="Q109" s="78"/>
      <c r="R109" s="82"/>
      <c r="S109" s="82"/>
      <c r="T109" s="82"/>
      <c r="U109" s="82"/>
      <c r="V109" s="52"/>
      <c r="W109" s="52"/>
      <c r="X109" s="52"/>
      <c r="Y109" s="52"/>
      <c r="Z109" s="51"/>
      <c r="AA109" s="73">
        <v>109</v>
      </c>
      <c r="AB109" s="73"/>
      <c r="AC109" s="74"/>
      <c r="AD109" s="80" t="s">
        <v>1351</v>
      </c>
      <c r="AE109" s="80"/>
      <c r="AF109" s="80"/>
      <c r="AG109" s="80" t="s">
        <v>3941</v>
      </c>
      <c r="AH109" s="80" t="s">
        <v>4662</v>
      </c>
      <c r="AI109" s="80">
        <v>366</v>
      </c>
      <c r="AJ109" s="80">
        <v>0</v>
      </c>
      <c r="AK109" s="80">
        <v>18</v>
      </c>
      <c r="AL109" s="80">
        <v>0</v>
      </c>
      <c r="AM109" s="80" t="s">
        <v>5614</v>
      </c>
      <c r="AN109" s="102" t="str">
        <f>HYPERLINK("https://www.youtube.com/watch?v=v1GoNzwye5w")</f>
        <v>https://www.youtube.com/watch?v=v1GoNzwye5w</v>
      </c>
      <c r="AO109" s="2"/>
      <c r="AP109" s="3"/>
      <c r="AQ109" s="3"/>
      <c r="AR109" s="3"/>
      <c r="AS109" s="3"/>
    </row>
    <row r="110" spans="1:45" ht="15">
      <c r="A110" s="66" t="s">
        <v>321</v>
      </c>
      <c r="B110" s="67"/>
      <c r="C110" s="67"/>
      <c r="D110" s="68"/>
      <c r="E110" s="70"/>
      <c r="F110" s="100" t="str">
        <f>HYPERLINK("https://i.ytimg.com/vi/cyLaZDLcGAg/default.jpg")</f>
        <v>https://i.ytimg.com/vi/cyLaZDLcGAg/default.jpg</v>
      </c>
      <c r="G110" s="67"/>
      <c r="H110" s="71"/>
      <c r="I110" s="72"/>
      <c r="J110" s="72"/>
      <c r="K110" s="71" t="s">
        <v>1352</v>
      </c>
      <c r="L110" s="75"/>
      <c r="M110" s="76">
        <v>7444.4326171875</v>
      </c>
      <c r="N110" s="76">
        <v>3489.42041015625</v>
      </c>
      <c r="O110" s="77"/>
      <c r="P110" s="78"/>
      <c r="Q110" s="78"/>
      <c r="R110" s="82"/>
      <c r="S110" s="82"/>
      <c r="T110" s="82"/>
      <c r="U110" s="82"/>
      <c r="V110" s="52"/>
      <c r="W110" s="52"/>
      <c r="X110" s="52"/>
      <c r="Y110" s="52"/>
      <c r="Z110" s="51"/>
      <c r="AA110" s="73">
        <v>110</v>
      </c>
      <c r="AB110" s="73"/>
      <c r="AC110" s="74"/>
      <c r="AD110" s="80" t="s">
        <v>1352</v>
      </c>
      <c r="AE110" s="80" t="s">
        <v>2382</v>
      </c>
      <c r="AF110" s="80"/>
      <c r="AG110" s="80" t="s">
        <v>3942</v>
      </c>
      <c r="AH110" s="80" t="s">
        <v>4663</v>
      </c>
      <c r="AI110" s="80">
        <v>1698</v>
      </c>
      <c r="AJ110" s="80">
        <v>0</v>
      </c>
      <c r="AK110" s="80">
        <v>31</v>
      </c>
      <c r="AL110" s="80">
        <v>0</v>
      </c>
      <c r="AM110" s="80" t="s">
        <v>5614</v>
      </c>
      <c r="AN110" s="102" t="str">
        <f>HYPERLINK("https://www.youtube.com/watch?v=cyLaZDLcGAg")</f>
        <v>https://www.youtube.com/watch?v=cyLaZDLcGAg</v>
      </c>
      <c r="AO110" s="2"/>
      <c r="AP110" s="3"/>
      <c r="AQ110" s="3"/>
      <c r="AR110" s="3"/>
      <c r="AS110" s="3"/>
    </row>
    <row r="111" spans="1:45" ht="15">
      <c r="A111" s="66" t="s">
        <v>186</v>
      </c>
      <c r="B111" s="67"/>
      <c r="C111" s="67"/>
      <c r="D111" s="68"/>
      <c r="E111" s="70"/>
      <c r="F111" s="100" t="str">
        <f>HYPERLINK("https://i.ytimg.com/vi/ike19QZXIoU/default.jpg")</f>
        <v>https://i.ytimg.com/vi/ike19QZXIoU/default.jpg</v>
      </c>
      <c r="G111" s="67"/>
      <c r="H111" s="71"/>
      <c r="I111" s="72"/>
      <c r="J111" s="72"/>
      <c r="K111" s="71" t="s">
        <v>1353</v>
      </c>
      <c r="L111" s="75"/>
      <c r="M111" s="76">
        <v>7440.19091796875</v>
      </c>
      <c r="N111" s="76">
        <v>3633.0849609375</v>
      </c>
      <c r="O111" s="77"/>
      <c r="P111" s="78"/>
      <c r="Q111" s="78"/>
      <c r="R111" s="82"/>
      <c r="S111" s="82"/>
      <c r="T111" s="82"/>
      <c r="U111" s="82"/>
      <c r="V111" s="52"/>
      <c r="W111" s="52"/>
      <c r="X111" s="52"/>
      <c r="Y111" s="52"/>
      <c r="Z111" s="51"/>
      <c r="AA111" s="73">
        <v>111</v>
      </c>
      <c r="AB111" s="73"/>
      <c r="AC111" s="74"/>
      <c r="AD111" s="80" t="s">
        <v>1353</v>
      </c>
      <c r="AE111" s="80" t="s">
        <v>2383</v>
      </c>
      <c r="AF111" s="80" t="s">
        <v>3255</v>
      </c>
      <c r="AG111" s="80" t="s">
        <v>3908</v>
      </c>
      <c r="AH111" s="80" t="s">
        <v>4664</v>
      </c>
      <c r="AI111" s="80">
        <v>132</v>
      </c>
      <c r="AJ111" s="80">
        <v>0</v>
      </c>
      <c r="AK111" s="80">
        <v>2</v>
      </c>
      <c r="AL111" s="80">
        <v>0</v>
      </c>
      <c r="AM111" s="80" t="s">
        <v>5614</v>
      </c>
      <c r="AN111" s="102" t="str">
        <f>HYPERLINK("https://www.youtube.com/watch?v=ike19QZXIoU")</f>
        <v>https://www.youtube.com/watch?v=ike19QZXIoU</v>
      </c>
      <c r="AO111" s="2"/>
      <c r="AP111" s="3"/>
      <c r="AQ111" s="3"/>
      <c r="AR111" s="3"/>
      <c r="AS111" s="3"/>
    </row>
    <row r="112" spans="1:45" ht="15">
      <c r="A112" s="66" t="s">
        <v>322</v>
      </c>
      <c r="B112" s="67"/>
      <c r="C112" s="67"/>
      <c r="D112" s="68"/>
      <c r="E112" s="70"/>
      <c r="F112" s="100" t="str">
        <f>HYPERLINK("https://i.ytimg.com/vi/DqHplI-1w-c/default.jpg")</f>
        <v>https://i.ytimg.com/vi/DqHplI-1w-c/default.jpg</v>
      </c>
      <c r="G112" s="67"/>
      <c r="H112" s="71"/>
      <c r="I112" s="72"/>
      <c r="J112" s="72"/>
      <c r="K112" s="71" t="s">
        <v>1354</v>
      </c>
      <c r="L112" s="75"/>
      <c r="M112" s="76">
        <v>9877.5126953125</v>
      </c>
      <c r="N112" s="76">
        <v>3226.144775390625</v>
      </c>
      <c r="O112" s="77"/>
      <c r="P112" s="78"/>
      <c r="Q112" s="78"/>
      <c r="R112" s="82"/>
      <c r="S112" s="82"/>
      <c r="T112" s="82"/>
      <c r="U112" s="82"/>
      <c r="V112" s="52"/>
      <c r="W112" s="52"/>
      <c r="X112" s="52"/>
      <c r="Y112" s="52"/>
      <c r="Z112" s="51"/>
      <c r="AA112" s="73">
        <v>112</v>
      </c>
      <c r="AB112" s="73"/>
      <c r="AC112" s="74"/>
      <c r="AD112" s="80" t="s">
        <v>1354</v>
      </c>
      <c r="AE112" s="80" t="s">
        <v>2384</v>
      </c>
      <c r="AF112" s="80" t="s">
        <v>3256</v>
      </c>
      <c r="AG112" s="80" t="s">
        <v>3943</v>
      </c>
      <c r="AH112" s="80" t="s">
        <v>4665</v>
      </c>
      <c r="AI112" s="80">
        <v>71512</v>
      </c>
      <c r="AJ112" s="80">
        <v>166</v>
      </c>
      <c r="AK112" s="80">
        <v>2309</v>
      </c>
      <c r="AL112" s="80">
        <v>50</v>
      </c>
      <c r="AM112" s="80" t="s">
        <v>5614</v>
      </c>
      <c r="AN112" s="102" t="str">
        <f>HYPERLINK("https://www.youtube.com/watch?v=DqHplI-1w-c")</f>
        <v>https://www.youtube.com/watch?v=DqHplI-1w-c</v>
      </c>
      <c r="AO112" s="2"/>
      <c r="AP112" s="3"/>
      <c r="AQ112" s="3"/>
      <c r="AR112" s="3"/>
      <c r="AS112" s="3"/>
    </row>
    <row r="113" spans="1:45" ht="15">
      <c r="A113" s="66" t="s">
        <v>323</v>
      </c>
      <c r="B113" s="67"/>
      <c r="C113" s="67"/>
      <c r="D113" s="68"/>
      <c r="E113" s="70"/>
      <c r="F113" s="100" t="str">
        <f>HYPERLINK("https://i.ytimg.com/vi/2b9_AKEYNmg/default.jpg")</f>
        <v>https://i.ytimg.com/vi/2b9_AKEYNmg/default.jpg</v>
      </c>
      <c r="G113" s="67"/>
      <c r="H113" s="71"/>
      <c r="I113" s="72"/>
      <c r="J113" s="72"/>
      <c r="K113" s="71" t="s">
        <v>1355</v>
      </c>
      <c r="L113" s="75"/>
      <c r="M113" s="76">
        <v>9845.6064453125</v>
      </c>
      <c r="N113" s="76">
        <v>3248.421630859375</v>
      </c>
      <c r="O113" s="77"/>
      <c r="P113" s="78"/>
      <c r="Q113" s="78"/>
      <c r="R113" s="82"/>
      <c r="S113" s="82"/>
      <c r="T113" s="82"/>
      <c r="U113" s="82"/>
      <c r="V113" s="52"/>
      <c r="W113" s="52"/>
      <c r="X113" s="52"/>
      <c r="Y113" s="52"/>
      <c r="Z113" s="51"/>
      <c r="AA113" s="73">
        <v>113</v>
      </c>
      <c r="AB113" s="73"/>
      <c r="AC113" s="74"/>
      <c r="AD113" s="80" t="s">
        <v>1355</v>
      </c>
      <c r="AE113" s="80" t="s">
        <v>2385</v>
      </c>
      <c r="AF113" s="80"/>
      <c r="AG113" s="80" t="s">
        <v>3944</v>
      </c>
      <c r="AH113" s="80" t="s">
        <v>4666</v>
      </c>
      <c r="AI113" s="80">
        <v>2489</v>
      </c>
      <c r="AJ113" s="80">
        <v>7</v>
      </c>
      <c r="AK113" s="80">
        <v>87</v>
      </c>
      <c r="AL113" s="80">
        <v>1</v>
      </c>
      <c r="AM113" s="80" t="s">
        <v>5614</v>
      </c>
      <c r="AN113" s="102" t="str">
        <f>HYPERLINK("https://www.youtube.com/watch?v=2b9_AKEYNmg")</f>
        <v>https://www.youtube.com/watch?v=2b9_AKEYNmg</v>
      </c>
      <c r="AO113" s="2"/>
      <c r="AP113" s="3"/>
      <c r="AQ113" s="3"/>
      <c r="AR113" s="3"/>
      <c r="AS113" s="3"/>
    </row>
    <row r="114" spans="1:45" ht="15">
      <c r="A114" s="66" t="s">
        <v>324</v>
      </c>
      <c r="B114" s="67"/>
      <c r="C114" s="67"/>
      <c r="D114" s="68"/>
      <c r="E114" s="70"/>
      <c r="F114" s="100" t="str">
        <f>HYPERLINK("https://i.ytimg.com/vi/nHQP3SS8LGc/default.jpg")</f>
        <v>https://i.ytimg.com/vi/nHQP3SS8LGc/default.jpg</v>
      </c>
      <c r="G114" s="67"/>
      <c r="H114" s="71"/>
      <c r="I114" s="72"/>
      <c r="J114" s="72"/>
      <c r="K114" s="71" t="s">
        <v>1356</v>
      </c>
      <c r="L114" s="75"/>
      <c r="M114" s="76">
        <v>9889.69921875</v>
      </c>
      <c r="N114" s="76">
        <v>3383.428466796875</v>
      </c>
      <c r="O114" s="77"/>
      <c r="P114" s="78"/>
      <c r="Q114" s="78"/>
      <c r="R114" s="82"/>
      <c r="S114" s="82"/>
      <c r="T114" s="82"/>
      <c r="U114" s="82"/>
      <c r="V114" s="52"/>
      <c r="W114" s="52"/>
      <c r="X114" s="52"/>
      <c r="Y114" s="52"/>
      <c r="Z114" s="51"/>
      <c r="AA114" s="73">
        <v>114</v>
      </c>
      <c r="AB114" s="73"/>
      <c r="AC114" s="74"/>
      <c r="AD114" s="80" t="s">
        <v>1356</v>
      </c>
      <c r="AE114" s="80" t="s">
        <v>2386</v>
      </c>
      <c r="AF114" s="80"/>
      <c r="AG114" s="80" t="s">
        <v>3945</v>
      </c>
      <c r="AH114" s="80" t="s">
        <v>4667</v>
      </c>
      <c r="AI114" s="80">
        <v>21534</v>
      </c>
      <c r="AJ114" s="80">
        <v>6</v>
      </c>
      <c r="AK114" s="80">
        <v>89</v>
      </c>
      <c r="AL114" s="80">
        <v>33</v>
      </c>
      <c r="AM114" s="80" t="s">
        <v>5614</v>
      </c>
      <c r="AN114" s="102" t="str">
        <f>HYPERLINK("https://www.youtube.com/watch?v=nHQP3SS8LGc")</f>
        <v>https://www.youtube.com/watch?v=nHQP3SS8LGc</v>
      </c>
      <c r="AO114" s="2"/>
      <c r="AP114" s="3"/>
      <c r="AQ114" s="3"/>
      <c r="AR114" s="3"/>
      <c r="AS114" s="3"/>
    </row>
    <row r="115" spans="1:45" ht="15">
      <c r="A115" s="66" t="s">
        <v>325</v>
      </c>
      <c r="B115" s="67"/>
      <c r="C115" s="67"/>
      <c r="D115" s="68"/>
      <c r="E115" s="70"/>
      <c r="F115" s="100" t="str">
        <f>HYPERLINK("https://i.ytimg.com/vi/dylyBPFFED8/default.jpg")</f>
        <v>https://i.ytimg.com/vi/dylyBPFFED8/default.jpg</v>
      </c>
      <c r="G115" s="67"/>
      <c r="H115" s="71"/>
      <c r="I115" s="72"/>
      <c r="J115" s="72"/>
      <c r="K115" s="71" t="s">
        <v>1357</v>
      </c>
      <c r="L115" s="75"/>
      <c r="M115" s="76">
        <v>9827.8916015625</v>
      </c>
      <c r="N115" s="76">
        <v>2992.8642578125</v>
      </c>
      <c r="O115" s="77"/>
      <c r="P115" s="78"/>
      <c r="Q115" s="78"/>
      <c r="R115" s="82"/>
      <c r="S115" s="82"/>
      <c r="T115" s="82"/>
      <c r="U115" s="82"/>
      <c r="V115" s="52"/>
      <c r="W115" s="52"/>
      <c r="X115" s="52"/>
      <c r="Y115" s="52"/>
      <c r="Z115" s="51"/>
      <c r="AA115" s="73">
        <v>115</v>
      </c>
      <c r="AB115" s="73"/>
      <c r="AC115" s="74"/>
      <c r="AD115" s="80" t="s">
        <v>1357</v>
      </c>
      <c r="AE115" s="80" t="s">
        <v>2387</v>
      </c>
      <c r="AF115" s="80"/>
      <c r="AG115" s="80" t="s">
        <v>3946</v>
      </c>
      <c r="AH115" s="80" t="s">
        <v>4668</v>
      </c>
      <c r="AI115" s="80">
        <v>20940</v>
      </c>
      <c r="AJ115" s="80">
        <v>2</v>
      </c>
      <c r="AK115" s="80">
        <v>192</v>
      </c>
      <c r="AL115" s="80">
        <v>15</v>
      </c>
      <c r="AM115" s="80" t="s">
        <v>5614</v>
      </c>
      <c r="AN115" s="102" t="str">
        <f>HYPERLINK("https://www.youtube.com/watch?v=dylyBPFFED8")</f>
        <v>https://www.youtube.com/watch?v=dylyBPFFED8</v>
      </c>
      <c r="AO115" s="2"/>
      <c r="AP115" s="3"/>
      <c r="AQ115" s="3"/>
      <c r="AR115" s="3"/>
      <c r="AS115" s="3"/>
    </row>
    <row r="116" spans="1:45" ht="15">
      <c r="A116" s="66" t="s">
        <v>326</v>
      </c>
      <c r="B116" s="67"/>
      <c r="C116" s="67"/>
      <c r="D116" s="68"/>
      <c r="E116" s="70"/>
      <c r="F116" s="100" t="str">
        <f>HYPERLINK("https://i.ytimg.com/vi/lf3FzLwjthQ/default.jpg")</f>
        <v>https://i.ytimg.com/vi/lf3FzLwjthQ/default.jpg</v>
      </c>
      <c r="G116" s="67"/>
      <c r="H116" s="71"/>
      <c r="I116" s="72"/>
      <c r="J116" s="72"/>
      <c r="K116" s="71" t="s">
        <v>1358</v>
      </c>
      <c r="L116" s="75"/>
      <c r="M116" s="76">
        <v>9827.01171875</v>
      </c>
      <c r="N116" s="76">
        <v>3123.605224609375</v>
      </c>
      <c r="O116" s="77"/>
      <c r="P116" s="78"/>
      <c r="Q116" s="78"/>
      <c r="R116" s="82"/>
      <c r="S116" s="82"/>
      <c r="T116" s="82"/>
      <c r="U116" s="82"/>
      <c r="V116" s="52"/>
      <c r="W116" s="52"/>
      <c r="X116" s="52"/>
      <c r="Y116" s="52"/>
      <c r="Z116" s="51"/>
      <c r="AA116" s="73">
        <v>116</v>
      </c>
      <c r="AB116" s="73"/>
      <c r="AC116" s="74"/>
      <c r="AD116" s="80" t="s">
        <v>1358</v>
      </c>
      <c r="AE116" s="80" t="s">
        <v>2388</v>
      </c>
      <c r="AF116" s="80" t="s">
        <v>3257</v>
      </c>
      <c r="AG116" s="80" t="s">
        <v>3947</v>
      </c>
      <c r="AH116" s="80" t="s">
        <v>4669</v>
      </c>
      <c r="AI116" s="80">
        <v>136</v>
      </c>
      <c r="AJ116" s="80">
        <v>0</v>
      </c>
      <c r="AK116" s="80">
        <v>0</v>
      </c>
      <c r="AL116" s="80">
        <v>0</v>
      </c>
      <c r="AM116" s="80" t="s">
        <v>5614</v>
      </c>
      <c r="AN116" s="102" t="str">
        <f>HYPERLINK("https://www.youtube.com/watch?v=lf3FzLwjthQ")</f>
        <v>https://www.youtube.com/watch?v=lf3FzLwjthQ</v>
      </c>
      <c r="AO116" s="2"/>
      <c r="AP116" s="3"/>
      <c r="AQ116" s="3"/>
      <c r="AR116" s="3"/>
      <c r="AS116" s="3"/>
    </row>
    <row r="117" spans="1:45" ht="15">
      <c r="A117" s="66" t="s">
        <v>327</v>
      </c>
      <c r="B117" s="67"/>
      <c r="C117" s="67"/>
      <c r="D117" s="68"/>
      <c r="E117" s="70"/>
      <c r="F117" s="100" t="str">
        <f>HYPERLINK("https://i.ytimg.com/vi/SfQbDQgct6c/default.jpg")</f>
        <v>https://i.ytimg.com/vi/SfQbDQgct6c/default.jpg</v>
      </c>
      <c r="G117" s="67"/>
      <c r="H117" s="71"/>
      <c r="I117" s="72"/>
      <c r="J117" s="72"/>
      <c r="K117" s="71" t="s">
        <v>1359</v>
      </c>
      <c r="L117" s="75"/>
      <c r="M117" s="76">
        <v>9889.69921875</v>
      </c>
      <c r="N117" s="76">
        <v>3529.970458984375</v>
      </c>
      <c r="O117" s="77"/>
      <c r="P117" s="78"/>
      <c r="Q117" s="78"/>
      <c r="R117" s="82"/>
      <c r="S117" s="82"/>
      <c r="T117" s="82"/>
      <c r="U117" s="82"/>
      <c r="V117" s="52"/>
      <c r="W117" s="52"/>
      <c r="X117" s="52"/>
      <c r="Y117" s="52"/>
      <c r="Z117" s="51"/>
      <c r="AA117" s="73">
        <v>117</v>
      </c>
      <c r="AB117" s="73"/>
      <c r="AC117" s="74"/>
      <c r="AD117" s="80" t="s">
        <v>1359</v>
      </c>
      <c r="AE117" s="80" t="s">
        <v>2389</v>
      </c>
      <c r="AF117" s="80" t="s">
        <v>3258</v>
      </c>
      <c r="AG117" s="80" t="s">
        <v>3943</v>
      </c>
      <c r="AH117" s="80" t="s">
        <v>4670</v>
      </c>
      <c r="AI117" s="80">
        <v>57185</v>
      </c>
      <c r="AJ117" s="80">
        <v>173</v>
      </c>
      <c r="AK117" s="80">
        <v>2252</v>
      </c>
      <c r="AL117" s="80">
        <v>61</v>
      </c>
      <c r="AM117" s="80" t="s">
        <v>5614</v>
      </c>
      <c r="AN117" s="102" t="str">
        <f>HYPERLINK("https://www.youtube.com/watch?v=SfQbDQgct6c")</f>
        <v>https://www.youtube.com/watch?v=SfQbDQgct6c</v>
      </c>
      <c r="AO117" s="2"/>
      <c r="AP117" s="3"/>
      <c r="AQ117" s="3"/>
      <c r="AR117" s="3"/>
      <c r="AS117" s="3"/>
    </row>
    <row r="118" spans="1:45" ht="15">
      <c r="A118" s="66" t="s">
        <v>328</v>
      </c>
      <c r="B118" s="67"/>
      <c r="C118" s="67"/>
      <c r="D118" s="68"/>
      <c r="E118" s="70"/>
      <c r="F118" s="100" t="str">
        <f>HYPERLINK("https://i.ytimg.com/vi/saXlzzjK6rE/default.jpg")</f>
        <v>https://i.ytimg.com/vi/saXlzzjK6rE/default.jpg</v>
      </c>
      <c r="G118" s="67"/>
      <c r="H118" s="71"/>
      <c r="I118" s="72"/>
      <c r="J118" s="72"/>
      <c r="K118" s="71" t="s">
        <v>1360</v>
      </c>
      <c r="L118" s="75"/>
      <c r="M118" s="76">
        <v>9815.0947265625</v>
      </c>
      <c r="N118" s="76">
        <v>2983.3173828125</v>
      </c>
      <c r="O118" s="77"/>
      <c r="P118" s="78"/>
      <c r="Q118" s="78"/>
      <c r="R118" s="82"/>
      <c r="S118" s="82"/>
      <c r="T118" s="82"/>
      <c r="U118" s="82"/>
      <c r="V118" s="52"/>
      <c r="W118" s="52"/>
      <c r="X118" s="52"/>
      <c r="Y118" s="52"/>
      <c r="Z118" s="51"/>
      <c r="AA118" s="73">
        <v>118</v>
      </c>
      <c r="AB118" s="73"/>
      <c r="AC118" s="74"/>
      <c r="AD118" s="80" t="s">
        <v>1360</v>
      </c>
      <c r="AE118" s="80" t="s">
        <v>2390</v>
      </c>
      <c r="AF118" s="80" t="s">
        <v>3259</v>
      </c>
      <c r="AG118" s="80" t="s">
        <v>3948</v>
      </c>
      <c r="AH118" s="80" t="s">
        <v>4671</v>
      </c>
      <c r="AI118" s="80">
        <v>405</v>
      </c>
      <c r="AJ118" s="80">
        <v>0</v>
      </c>
      <c r="AK118" s="80">
        <v>4</v>
      </c>
      <c r="AL118" s="80">
        <v>0</v>
      </c>
      <c r="AM118" s="80" t="s">
        <v>5614</v>
      </c>
      <c r="AN118" s="102" t="str">
        <f>HYPERLINK("https://www.youtube.com/watch?v=saXlzzjK6rE")</f>
        <v>https://www.youtube.com/watch?v=saXlzzjK6rE</v>
      </c>
      <c r="AO118" s="2"/>
      <c r="AP118" s="3"/>
      <c r="AQ118" s="3"/>
      <c r="AR118" s="3"/>
      <c r="AS118" s="3"/>
    </row>
    <row r="119" spans="1:45" ht="15">
      <c r="A119" s="66" t="s">
        <v>329</v>
      </c>
      <c r="B119" s="67"/>
      <c r="C119" s="67"/>
      <c r="D119" s="68"/>
      <c r="E119" s="70"/>
      <c r="F119" s="100" t="str">
        <f>HYPERLINK("https://i.ytimg.com/vi/8Hch9o3hHCE/default.jpg")</f>
        <v>https://i.ytimg.com/vi/8Hch9o3hHCE/default.jpg</v>
      </c>
      <c r="G119" s="67"/>
      <c r="H119" s="71"/>
      <c r="I119" s="72"/>
      <c r="J119" s="72"/>
      <c r="K119" s="71" t="s">
        <v>1361</v>
      </c>
      <c r="L119" s="75"/>
      <c r="M119" s="76">
        <v>9822.767578125</v>
      </c>
      <c r="N119" s="76">
        <v>3182.768310546875</v>
      </c>
      <c r="O119" s="77"/>
      <c r="P119" s="78"/>
      <c r="Q119" s="78"/>
      <c r="R119" s="82"/>
      <c r="S119" s="82"/>
      <c r="T119" s="82"/>
      <c r="U119" s="82"/>
      <c r="V119" s="52"/>
      <c r="W119" s="52"/>
      <c r="X119" s="52"/>
      <c r="Y119" s="52"/>
      <c r="Z119" s="51"/>
      <c r="AA119" s="73">
        <v>119</v>
      </c>
      <c r="AB119" s="73"/>
      <c r="AC119" s="74"/>
      <c r="AD119" s="80" t="s">
        <v>1361</v>
      </c>
      <c r="AE119" s="80" t="s">
        <v>2391</v>
      </c>
      <c r="AF119" s="80" t="s">
        <v>1361</v>
      </c>
      <c r="AG119" s="80" t="s">
        <v>3949</v>
      </c>
      <c r="AH119" s="80" t="s">
        <v>4672</v>
      </c>
      <c r="AI119" s="80">
        <v>15062</v>
      </c>
      <c r="AJ119" s="80">
        <v>2</v>
      </c>
      <c r="AK119" s="80">
        <v>45</v>
      </c>
      <c r="AL119" s="80">
        <v>4</v>
      </c>
      <c r="AM119" s="80" t="s">
        <v>5614</v>
      </c>
      <c r="AN119" s="102" t="str">
        <f>HYPERLINK("https://www.youtube.com/watch?v=8Hch9o3hHCE")</f>
        <v>https://www.youtube.com/watch?v=8Hch9o3hHCE</v>
      </c>
      <c r="AO119" s="2"/>
      <c r="AP119" s="3"/>
      <c r="AQ119" s="3"/>
      <c r="AR119" s="3"/>
      <c r="AS119" s="3"/>
    </row>
    <row r="120" spans="1:45" ht="15">
      <c r="A120" s="66" t="s">
        <v>330</v>
      </c>
      <c r="B120" s="67"/>
      <c r="C120" s="67"/>
      <c r="D120" s="68"/>
      <c r="E120" s="70"/>
      <c r="F120" s="100" t="str">
        <f>HYPERLINK("https://i.ytimg.com/vi/DNVkJ120THc/default.jpg")</f>
        <v>https://i.ytimg.com/vi/DNVkJ120THc/default.jpg</v>
      </c>
      <c r="G120" s="67"/>
      <c r="H120" s="71"/>
      <c r="I120" s="72"/>
      <c r="J120" s="72"/>
      <c r="K120" s="71" t="s">
        <v>1362</v>
      </c>
      <c r="L120" s="75"/>
      <c r="M120" s="76">
        <v>9821.8798828125</v>
      </c>
      <c r="N120" s="76">
        <v>3028.68994140625</v>
      </c>
      <c r="O120" s="77"/>
      <c r="P120" s="78"/>
      <c r="Q120" s="78"/>
      <c r="R120" s="82"/>
      <c r="S120" s="82"/>
      <c r="T120" s="82"/>
      <c r="U120" s="82"/>
      <c r="V120" s="52"/>
      <c r="W120" s="52"/>
      <c r="X120" s="52"/>
      <c r="Y120" s="52"/>
      <c r="Z120" s="51"/>
      <c r="AA120" s="73">
        <v>120</v>
      </c>
      <c r="AB120" s="73"/>
      <c r="AC120" s="74"/>
      <c r="AD120" s="80" t="s">
        <v>1362</v>
      </c>
      <c r="AE120" s="80"/>
      <c r="AF120" s="80" t="s">
        <v>3260</v>
      </c>
      <c r="AG120" s="80" t="s">
        <v>3950</v>
      </c>
      <c r="AH120" s="80" t="s">
        <v>4673</v>
      </c>
      <c r="AI120" s="80">
        <v>18753</v>
      </c>
      <c r="AJ120" s="80">
        <v>5</v>
      </c>
      <c r="AK120" s="80">
        <v>127</v>
      </c>
      <c r="AL120" s="80">
        <v>15</v>
      </c>
      <c r="AM120" s="80" t="s">
        <v>5614</v>
      </c>
      <c r="AN120" s="102" t="str">
        <f>HYPERLINK("https://www.youtube.com/watch?v=DNVkJ120THc")</f>
        <v>https://www.youtube.com/watch?v=DNVkJ120THc</v>
      </c>
      <c r="AO120" s="2"/>
      <c r="AP120" s="3"/>
      <c r="AQ120" s="3"/>
      <c r="AR120" s="3"/>
      <c r="AS120" s="3"/>
    </row>
    <row r="121" spans="1:45" ht="15">
      <c r="A121" s="66" t="s">
        <v>331</v>
      </c>
      <c r="B121" s="67"/>
      <c r="C121" s="67"/>
      <c r="D121" s="68"/>
      <c r="E121" s="70"/>
      <c r="F121" s="100" t="str">
        <f>HYPERLINK("https://i.ytimg.com/vi/9Nlf-XB0WEI/default.jpg")</f>
        <v>https://i.ytimg.com/vi/9Nlf-XB0WEI/default.jpg</v>
      </c>
      <c r="G121" s="67"/>
      <c r="H121" s="71"/>
      <c r="I121" s="72"/>
      <c r="J121" s="72"/>
      <c r="K121" s="71" t="s">
        <v>1363</v>
      </c>
      <c r="L121" s="75"/>
      <c r="M121" s="76">
        <v>9864.0439453125</v>
      </c>
      <c r="N121" s="76">
        <v>3428.669189453125</v>
      </c>
      <c r="O121" s="77"/>
      <c r="P121" s="78"/>
      <c r="Q121" s="78"/>
      <c r="R121" s="82"/>
      <c r="S121" s="82"/>
      <c r="T121" s="82"/>
      <c r="U121" s="82"/>
      <c r="V121" s="52"/>
      <c r="W121" s="52"/>
      <c r="X121" s="52"/>
      <c r="Y121" s="52"/>
      <c r="Z121" s="51"/>
      <c r="AA121" s="73">
        <v>121</v>
      </c>
      <c r="AB121" s="73"/>
      <c r="AC121" s="74"/>
      <c r="AD121" s="80" t="s">
        <v>1363</v>
      </c>
      <c r="AE121" s="80" t="s">
        <v>2392</v>
      </c>
      <c r="AF121" s="80"/>
      <c r="AG121" s="80" t="s">
        <v>3951</v>
      </c>
      <c r="AH121" s="80" t="s">
        <v>4674</v>
      </c>
      <c r="AI121" s="80">
        <v>7796</v>
      </c>
      <c r="AJ121" s="80">
        <v>2</v>
      </c>
      <c r="AK121" s="80">
        <v>46</v>
      </c>
      <c r="AL121" s="80">
        <v>2</v>
      </c>
      <c r="AM121" s="80" t="s">
        <v>5614</v>
      </c>
      <c r="AN121" s="102" t="str">
        <f>HYPERLINK("https://www.youtube.com/watch?v=9Nlf-XB0WEI")</f>
        <v>https://www.youtube.com/watch?v=9Nlf-XB0WEI</v>
      </c>
      <c r="AO121" s="2"/>
      <c r="AP121" s="3"/>
      <c r="AQ121" s="3"/>
      <c r="AR121" s="3"/>
      <c r="AS121" s="3"/>
    </row>
    <row r="122" spans="1:45" ht="15">
      <c r="A122" s="66" t="s">
        <v>332</v>
      </c>
      <c r="B122" s="67"/>
      <c r="C122" s="67"/>
      <c r="D122" s="68"/>
      <c r="E122" s="70"/>
      <c r="F122" s="100" t="str">
        <f>HYPERLINK("https://i.ytimg.com/vi/HqHeQNLOPHM/default.jpg")</f>
        <v>https://i.ytimg.com/vi/HqHeQNLOPHM/default.jpg</v>
      </c>
      <c r="G122" s="67"/>
      <c r="H122" s="71"/>
      <c r="I122" s="72"/>
      <c r="J122" s="72"/>
      <c r="K122" s="71" t="s">
        <v>1364</v>
      </c>
      <c r="L122" s="75"/>
      <c r="M122" s="76">
        <v>9769.6357421875</v>
      </c>
      <c r="N122" s="76">
        <v>2828.729736328125</v>
      </c>
      <c r="O122" s="77"/>
      <c r="P122" s="78"/>
      <c r="Q122" s="78"/>
      <c r="R122" s="82"/>
      <c r="S122" s="82"/>
      <c r="T122" s="82"/>
      <c r="U122" s="82"/>
      <c r="V122" s="52"/>
      <c r="W122" s="52"/>
      <c r="X122" s="52"/>
      <c r="Y122" s="52"/>
      <c r="Z122" s="51"/>
      <c r="AA122" s="73">
        <v>122</v>
      </c>
      <c r="AB122" s="73"/>
      <c r="AC122" s="74"/>
      <c r="AD122" s="80" t="s">
        <v>1364</v>
      </c>
      <c r="AE122" s="80" t="s">
        <v>2393</v>
      </c>
      <c r="AF122" s="80" t="s">
        <v>3261</v>
      </c>
      <c r="AG122" s="80" t="s">
        <v>3952</v>
      </c>
      <c r="AH122" s="80" t="s">
        <v>4675</v>
      </c>
      <c r="AI122" s="80">
        <v>10484</v>
      </c>
      <c r="AJ122" s="80">
        <v>15</v>
      </c>
      <c r="AK122" s="80">
        <v>101</v>
      </c>
      <c r="AL122" s="80">
        <v>5</v>
      </c>
      <c r="AM122" s="80" t="s">
        <v>5614</v>
      </c>
      <c r="AN122" s="102" t="str">
        <f>HYPERLINK("https://www.youtube.com/watch?v=HqHeQNLOPHM")</f>
        <v>https://www.youtube.com/watch?v=HqHeQNLOPHM</v>
      </c>
      <c r="AO122" s="2"/>
      <c r="AP122" s="3"/>
      <c r="AQ122" s="3"/>
      <c r="AR122" s="3"/>
      <c r="AS122" s="3"/>
    </row>
    <row r="123" spans="1:45" ht="15">
      <c r="A123" s="66" t="s">
        <v>333</v>
      </c>
      <c r="B123" s="67"/>
      <c r="C123" s="67"/>
      <c r="D123" s="68"/>
      <c r="E123" s="70"/>
      <c r="F123" s="100" t="str">
        <f>HYPERLINK("https://i.ytimg.com/vi/9PfVxD3BRfw/default.jpg")</f>
        <v>https://i.ytimg.com/vi/9PfVxD3BRfw/default.jpg</v>
      </c>
      <c r="G123" s="67"/>
      <c r="H123" s="71"/>
      <c r="I123" s="72"/>
      <c r="J123" s="72"/>
      <c r="K123" s="71" t="s">
        <v>1365</v>
      </c>
      <c r="L123" s="75"/>
      <c r="M123" s="76">
        <v>9889.69921875</v>
      </c>
      <c r="N123" s="76">
        <v>3574.33544921875</v>
      </c>
      <c r="O123" s="77"/>
      <c r="P123" s="78"/>
      <c r="Q123" s="78"/>
      <c r="R123" s="82"/>
      <c r="S123" s="82"/>
      <c r="T123" s="82"/>
      <c r="U123" s="82"/>
      <c r="V123" s="52"/>
      <c r="W123" s="52"/>
      <c r="X123" s="52"/>
      <c r="Y123" s="52"/>
      <c r="Z123" s="51"/>
      <c r="AA123" s="73">
        <v>123</v>
      </c>
      <c r="AB123" s="73"/>
      <c r="AC123" s="74"/>
      <c r="AD123" s="80" t="s">
        <v>1365</v>
      </c>
      <c r="AE123" s="80" t="s">
        <v>2394</v>
      </c>
      <c r="AF123" s="80" t="s">
        <v>3262</v>
      </c>
      <c r="AG123" s="80" t="s">
        <v>3953</v>
      </c>
      <c r="AH123" s="80" t="s">
        <v>4676</v>
      </c>
      <c r="AI123" s="80">
        <v>8781</v>
      </c>
      <c r="AJ123" s="80">
        <v>1</v>
      </c>
      <c r="AK123" s="80">
        <v>31</v>
      </c>
      <c r="AL123" s="80">
        <v>2</v>
      </c>
      <c r="AM123" s="80" t="s">
        <v>5614</v>
      </c>
      <c r="AN123" s="102" t="str">
        <f>HYPERLINK("https://www.youtube.com/watch?v=9PfVxD3BRfw")</f>
        <v>https://www.youtube.com/watch?v=9PfVxD3BRfw</v>
      </c>
      <c r="AO123" s="2"/>
      <c r="AP123" s="3"/>
      <c r="AQ123" s="3"/>
      <c r="AR123" s="3"/>
      <c r="AS123" s="3"/>
    </row>
    <row r="124" spans="1:45" ht="15">
      <c r="A124" s="66" t="s">
        <v>334</v>
      </c>
      <c r="B124" s="67"/>
      <c r="C124" s="67"/>
      <c r="D124" s="68"/>
      <c r="E124" s="70"/>
      <c r="F124" s="100" t="str">
        <f>HYPERLINK("https://i.ytimg.com/vi/-Prv9pREa3A/default.jpg")</f>
        <v>https://i.ytimg.com/vi/-Prv9pREa3A/default.jpg</v>
      </c>
      <c r="G124" s="67"/>
      <c r="H124" s="71"/>
      <c r="I124" s="72"/>
      <c r="J124" s="72"/>
      <c r="K124" s="71" t="s">
        <v>1366</v>
      </c>
      <c r="L124" s="75"/>
      <c r="M124" s="76">
        <v>9889.69921875</v>
      </c>
      <c r="N124" s="76">
        <v>3423.570068359375</v>
      </c>
      <c r="O124" s="77"/>
      <c r="P124" s="78"/>
      <c r="Q124" s="78"/>
      <c r="R124" s="82"/>
      <c r="S124" s="82"/>
      <c r="T124" s="82"/>
      <c r="U124" s="82"/>
      <c r="V124" s="52"/>
      <c r="W124" s="52"/>
      <c r="X124" s="52"/>
      <c r="Y124" s="52"/>
      <c r="Z124" s="51"/>
      <c r="AA124" s="73">
        <v>124</v>
      </c>
      <c r="AB124" s="73"/>
      <c r="AC124" s="74"/>
      <c r="AD124" s="80" t="s">
        <v>1366</v>
      </c>
      <c r="AE124" s="80" t="s">
        <v>2395</v>
      </c>
      <c r="AF124" s="80" t="s">
        <v>3263</v>
      </c>
      <c r="AG124" s="80" t="s">
        <v>3954</v>
      </c>
      <c r="AH124" s="80" t="s">
        <v>4677</v>
      </c>
      <c r="AI124" s="80">
        <v>294780</v>
      </c>
      <c r="AJ124" s="80">
        <v>1026</v>
      </c>
      <c r="AK124" s="80">
        <v>15696</v>
      </c>
      <c r="AL124" s="80">
        <v>233</v>
      </c>
      <c r="AM124" s="80" t="s">
        <v>5614</v>
      </c>
      <c r="AN124" s="102" t="str">
        <f>HYPERLINK("https://www.youtube.com/watch?v=-Prv9pREa3A")</f>
        <v>https://www.youtube.com/watch?v=-Prv9pREa3A</v>
      </c>
      <c r="AO124" s="2"/>
      <c r="AP124" s="3"/>
      <c r="AQ124" s="3"/>
      <c r="AR124" s="3"/>
      <c r="AS124" s="3"/>
    </row>
    <row r="125" spans="1:45" ht="15">
      <c r="A125" s="66" t="s">
        <v>335</v>
      </c>
      <c r="B125" s="67"/>
      <c r="C125" s="67"/>
      <c r="D125" s="68"/>
      <c r="E125" s="70"/>
      <c r="F125" s="100" t="str">
        <f>HYPERLINK("https://i.ytimg.com/vi/kcVBH3s7Wys/default.jpg")</f>
        <v>https://i.ytimg.com/vi/kcVBH3s7Wys/default.jpg</v>
      </c>
      <c r="G125" s="67"/>
      <c r="H125" s="71"/>
      <c r="I125" s="72"/>
      <c r="J125" s="72"/>
      <c r="K125" s="71" t="s">
        <v>1367</v>
      </c>
      <c r="L125" s="75"/>
      <c r="M125" s="76">
        <v>9795.8837890625</v>
      </c>
      <c r="N125" s="76">
        <v>2932.192626953125</v>
      </c>
      <c r="O125" s="77"/>
      <c r="P125" s="78"/>
      <c r="Q125" s="78"/>
      <c r="R125" s="82"/>
      <c r="S125" s="82"/>
      <c r="T125" s="82"/>
      <c r="U125" s="82"/>
      <c r="V125" s="52"/>
      <c r="W125" s="52"/>
      <c r="X125" s="52"/>
      <c r="Y125" s="52"/>
      <c r="Z125" s="51"/>
      <c r="AA125" s="73">
        <v>125</v>
      </c>
      <c r="AB125" s="73"/>
      <c r="AC125" s="74"/>
      <c r="AD125" s="80" t="s">
        <v>1367</v>
      </c>
      <c r="AE125" s="80" t="s">
        <v>2396</v>
      </c>
      <c r="AF125" s="80" t="s">
        <v>3264</v>
      </c>
      <c r="AG125" s="80" t="s">
        <v>3955</v>
      </c>
      <c r="AH125" s="80" t="s">
        <v>4678</v>
      </c>
      <c r="AI125" s="80">
        <v>308948</v>
      </c>
      <c r="AJ125" s="80">
        <v>11</v>
      </c>
      <c r="AK125" s="80">
        <v>1955</v>
      </c>
      <c r="AL125" s="80">
        <v>90</v>
      </c>
      <c r="AM125" s="80" t="s">
        <v>5614</v>
      </c>
      <c r="AN125" s="102" t="str">
        <f>HYPERLINK("https://www.youtube.com/watch?v=kcVBH3s7Wys")</f>
        <v>https://www.youtube.com/watch?v=kcVBH3s7Wys</v>
      </c>
      <c r="AO125" s="2"/>
      <c r="AP125" s="3"/>
      <c r="AQ125" s="3"/>
      <c r="AR125" s="3"/>
      <c r="AS125" s="3"/>
    </row>
    <row r="126" spans="1:45" ht="15">
      <c r="A126" s="66" t="s">
        <v>336</v>
      </c>
      <c r="B126" s="67"/>
      <c r="C126" s="67"/>
      <c r="D126" s="68"/>
      <c r="E126" s="70"/>
      <c r="F126" s="100" t="str">
        <f>HYPERLINK("https://i.ytimg.com/vi/RONcZkxFp6c/default.jpg")</f>
        <v>https://i.ytimg.com/vi/RONcZkxFp6c/default.jpg</v>
      </c>
      <c r="G126" s="67"/>
      <c r="H126" s="71"/>
      <c r="I126" s="72"/>
      <c r="J126" s="72"/>
      <c r="K126" s="71" t="s">
        <v>1368</v>
      </c>
      <c r="L126" s="75"/>
      <c r="M126" s="76">
        <v>9855.490234375</v>
      </c>
      <c r="N126" s="76">
        <v>3106.15478515625</v>
      </c>
      <c r="O126" s="77"/>
      <c r="P126" s="78"/>
      <c r="Q126" s="78"/>
      <c r="R126" s="82"/>
      <c r="S126" s="82"/>
      <c r="T126" s="82"/>
      <c r="U126" s="82"/>
      <c r="V126" s="52"/>
      <c r="W126" s="52"/>
      <c r="X126" s="52"/>
      <c r="Y126" s="52"/>
      <c r="Z126" s="51"/>
      <c r="AA126" s="73">
        <v>126</v>
      </c>
      <c r="AB126" s="73"/>
      <c r="AC126" s="74"/>
      <c r="AD126" s="80" t="s">
        <v>1368</v>
      </c>
      <c r="AE126" s="80" t="s">
        <v>2397</v>
      </c>
      <c r="AF126" s="80" t="s">
        <v>3265</v>
      </c>
      <c r="AG126" s="80" t="s">
        <v>3956</v>
      </c>
      <c r="AH126" s="80" t="s">
        <v>4679</v>
      </c>
      <c r="AI126" s="80">
        <v>12968</v>
      </c>
      <c r="AJ126" s="80">
        <v>1</v>
      </c>
      <c r="AK126" s="80">
        <v>215</v>
      </c>
      <c r="AL126" s="80">
        <v>5</v>
      </c>
      <c r="AM126" s="80" t="s">
        <v>5614</v>
      </c>
      <c r="AN126" s="102" t="str">
        <f>HYPERLINK("https://www.youtube.com/watch?v=RONcZkxFp6c")</f>
        <v>https://www.youtube.com/watch?v=RONcZkxFp6c</v>
      </c>
      <c r="AO126" s="2"/>
      <c r="AP126" s="3"/>
      <c r="AQ126" s="3"/>
      <c r="AR126" s="3"/>
      <c r="AS126" s="3"/>
    </row>
    <row r="127" spans="1:45" ht="15">
      <c r="A127" s="66" t="s">
        <v>337</v>
      </c>
      <c r="B127" s="67"/>
      <c r="C127" s="67"/>
      <c r="D127" s="68"/>
      <c r="E127" s="70"/>
      <c r="F127" s="100" t="str">
        <f>HYPERLINK("https://i.ytimg.com/vi/3pItaCJ5m_k/default.jpg")</f>
        <v>https://i.ytimg.com/vi/3pItaCJ5m_k/default.jpg</v>
      </c>
      <c r="G127" s="67"/>
      <c r="H127" s="71"/>
      <c r="I127" s="72"/>
      <c r="J127" s="72"/>
      <c r="K127" s="71" t="s">
        <v>1369</v>
      </c>
      <c r="L127" s="75"/>
      <c r="M127" s="76">
        <v>9770.6328125</v>
      </c>
      <c r="N127" s="76">
        <v>3010.106201171875</v>
      </c>
      <c r="O127" s="77"/>
      <c r="P127" s="78"/>
      <c r="Q127" s="78"/>
      <c r="R127" s="82"/>
      <c r="S127" s="82"/>
      <c r="T127" s="82"/>
      <c r="U127" s="82"/>
      <c r="V127" s="52"/>
      <c r="W127" s="52"/>
      <c r="X127" s="52"/>
      <c r="Y127" s="52"/>
      <c r="Z127" s="51"/>
      <c r="AA127" s="73">
        <v>127</v>
      </c>
      <c r="AB127" s="73"/>
      <c r="AC127" s="74"/>
      <c r="AD127" s="80" t="s">
        <v>1369</v>
      </c>
      <c r="AE127" s="80" t="s">
        <v>2398</v>
      </c>
      <c r="AF127" s="80" t="s">
        <v>3266</v>
      </c>
      <c r="AG127" s="80" t="s">
        <v>3957</v>
      </c>
      <c r="AH127" s="80" t="s">
        <v>4680</v>
      </c>
      <c r="AI127" s="80">
        <v>6854</v>
      </c>
      <c r="AJ127" s="80">
        <v>3</v>
      </c>
      <c r="AK127" s="80">
        <v>55</v>
      </c>
      <c r="AL127" s="80">
        <v>1</v>
      </c>
      <c r="AM127" s="80" t="s">
        <v>5614</v>
      </c>
      <c r="AN127" s="102" t="str">
        <f>HYPERLINK("https://www.youtube.com/watch?v=3pItaCJ5m_k")</f>
        <v>https://www.youtube.com/watch?v=3pItaCJ5m_k</v>
      </c>
      <c r="AO127" s="2"/>
      <c r="AP127" s="3"/>
      <c r="AQ127" s="3"/>
      <c r="AR127" s="3"/>
      <c r="AS127" s="3"/>
    </row>
    <row r="128" spans="1:45" ht="15">
      <c r="A128" s="66" t="s">
        <v>338</v>
      </c>
      <c r="B128" s="67"/>
      <c r="C128" s="67"/>
      <c r="D128" s="68"/>
      <c r="E128" s="70"/>
      <c r="F128" s="100" t="str">
        <f>HYPERLINK("https://i.ytimg.com/vi/UgAvfNena1Y/default.jpg")</f>
        <v>https://i.ytimg.com/vi/UgAvfNena1Y/default.jpg</v>
      </c>
      <c r="G128" s="67"/>
      <c r="H128" s="71"/>
      <c r="I128" s="72"/>
      <c r="J128" s="72"/>
      <c r="K128" s="98" t="s">
        <v>1370</v>
      </c>
      <c r="L128" s="75"/>
      <c r="M128" s="76">
        <v>9819.4267578125</v>
      </c>
      <c r="N128" s="76">
        <v>3333.380126953125</v>
      </c>
      <c r="O128" s="77"/>
      <c r="P128" s="78"/>
      <c r="Q128" s="78"/>
      <c r="R128" s="82"/>
      <c r="S128" s="82"/>
      <c r="T128" s="82"/>
      <c r="U128" s="82"/>
      <c r="V128" s="52"/>
      <c r="W128" s="52"/>
      <c r="X128" s="52"/>
      <c r="Y128" s="52"/>
      <c r="Z128" s="51"/>
      <c r="AA128" s="73">
        <v>128</v>
      </c>
      <c r="AB128" s="73"/>
      <c r="AC128" s="74"/>
      <c r="AD128" s="99" t="s">
        <v>1370</v>
      </c>
      <c r="AE128" s="80"/>
      <c r="AF128" s="80"/>
      <c r="AG128" s="80" t="s">
        <v>3958</v>
      </c>
      <c r="AH128" s="80" t="s">
        <v>4681</v>
      </c>
      <c r="AI128" s="80">
        <v>746130</v>
      </c>
      <c r="AJ128" s="80">
        <v>372</v>
      </c>
      <c r="AK128" s="80">
        <v>15102</v>
      </c>
      <c r="AL128" s="80">
        <v>371</v>
      </c>
      <c r="AM128" s="80" t="s">
        <v>5614</v>
      </c>
      <c r="AN128" s="102" t="str">
        <f>HYPERLINK("https://www.youtube.com/watch?v=UgAvfNena1Y")</f>
        <v>https://www.youtube.com/watch?v=UgAvfNena1Y</v>
      </c>
      <c r="AO128" s="2"/>
      <c r="AP128" s="3"/>
      <c r="AQ128" s="3"/>
      <c r="AR128" s="3"/>
      <c r="AS128" s="3"/>
    </row>
    <row r="129" spans="1:45" ht="15">
      <c r="A129" s="66" t="s">
        <v>339</v>
      </c>
      <c r="B129" s="67"/>
      <c r="C129" s="67"/>
      <c r="D129" s="68"/>
      <c r="E129" s="70"/>
      <c r="F129" s="100" t="str">
        <f>HYPERLINK("https://i.ytimg.com/vi/nmlre4H5iX4/default.jpg")</f>
        <v>https://i.ytimg.com/vi/nmlre4H5iX4/default.jpg</v>
      </c>
      <c r="G129" s="67"/>
      <c r="H129" s="71"/>
      <c r="I129" s="72"/>
      <c r="J129" s="72"/>
      <c r="K129" s="71" t="s">
        <v>1371</v>
      </c>
      <c r="L129" s="75"/>
      <c r="M129" s="76">
        <v>7432.244140625</v>
      </c>
      <c r="N129" s="76">
        <v>3777.59228515625</v>
      </c>
      <c r="O129" s="77"/>
      <c r="P129" s="78"/>
      <c r="Q129" s="78"/>
      <c r="R129" s="82"/>
      <c r="S129" s="82"/>
      <c r="T129" s="82"/>
      <c r="U129" s="82"/>
      <c r="V129" s="52"/>
      <c r="W129" s="52"/>
      <c r="X129" s="52"/>
      <c r="Y129" s="52"/>
      <c r="Z129" s="51"/>
      <c r="AA129" s="73">
        <v>129</v>
      </c>
      <c r="AB129" s="73"/>
      <c r="AC129" s="74"/>
      <c r="AD129" s="80" t="s">
        <v>1371</v>
      </c>
      <c r="AE129" s="80" t="s">
        <v>2399</v>
      </c>
      <c r="AF129" s="80" t="s">
        <v>3267</v>
      </c>
      <c r="AG129" s="80" t="s">
        <v>3943</v>
      </c>
      <c r="AH129" s="80" t="s">
        <v>4682</v>
      </c>
      <c r="AI129" s="80">
        <v>170920</v>
      </c>
      <c r="AJ129" s="80">
        <v>581</v>
      </c>
      <c r="AK129" s="80">
        <v>6859</v>
      </c>
      <c r="AL129" s="80">
        <v>305</v>
      </c>
      <c r="AM129" s="80" t="s">
        <v>5614</v>
      </c>
      <c r="AN129" s="102" t="str">
        <f>HYPERLINK("https://www.youtube.com/watch?v=nmlre4H5iX4")</f>
        <v>https://www.youtube.com/watch?v=nmlre4H5iX4</v>
      </c>
      <c r="AO129" s="2"/>
      <c r="AP129" s="3"/>
      <c r="AQ129" s="3"/>
      <c r="AR129" s="3"/>
      <c r="AS129" s="3"/>
    </row>
    <row r="130" spans="1:45" ht="15">
      <c r="A130" s="66" t="s">
        <v>340</v>
      </c>
      <c r="B130" s="67"/>
      <c r="C130" s="67"/>
      <c r="D130" s="68"/>
      <c r="E130" s="70"/>
      <c r="F130" s="100" t="str">
        <f>HYPERLINK("https://i.ytimg.com/vi/6p_1uZarJ4o/default.jpg")</f>
        <v>https://i.ytimg.com/vi/6p_1uZarJ4o/default.jpg</v>
      </c>
      <c r="G130" s="67"/>
      <c r="H130" s="71"/>
      <c r="I130" s="72"/>
      <c r="J130" s="72"/>
      <c r="K130" s="71" t="s">
        <v>1372</v>
      </c>
      <c r="L130" s="75"/>
      <c r="M130" s="76">
        <v>7668.7548828125</v>
      </c>
      <c r="N130" s="76">
        <v>3129.825439453125</v>
      </c>
      <c r="O130" s="77"/>
      <c r="P130" s="78"/>
      <c r="Q130" s="78"/>
      <c r="R130" s="82"/>
      <c r="S130" s="82"/>
      <c r="T130" s="82"/>
      <c r="U130" s="82"/>
      <c r="V130" s="52"/>
      <c r="W130" s="52"/>
      <c r="X130" s="52"/>
      <c r="Y130" s="52"/>
      <c r="Z130" s="51"/>
      <c r="AA130" s="73">
        <v>130</v>
      </c>
      <c r="AB130" s="73"/>
      <c r="AC130" s="74"/>
      <c r="AD130" s="80" t="s">
        <v>1372</v>
      </c>
      <c r="AE130" s="80" t="s">
        <v>2400</v>
      </c>
      <c r="AF130" s="80" t="s">
        <v>3268</v>
      </c>
      <c r="AG130" s="80" t="s">
        <v>3943</v>
      </c>
      <c r="AH130" s="80" t="s">
        <v>4683</v>
      </c>
      <c r="AI130" s="80">
        <v>209955</v>
      </c>
      <c r="AJ130" s="80">
        <v>408</v>
      </c>
      <c r="AK130" s="80">
        <v>5037</v>
      </c>
      <c r="AL130" s="80">
        <v>328</v>
      </c>
      <c r="AM130" s="80" t="s">
        <v>5614</v>
      </c>
      <c r="AN130" s="102" t="str">
        <f>HYPERLINK("https://www.youtube.com/watch?v=6p_1uZarJ4o")</f>
        <v>https://www.youtube.com/watch?v=6p_1uZarJ4o</v>
      </c>
      <c r="AO130" s="2"/>
      <c r="AP130" s="3"/>
      <c r="AQ130" s="3"/>
      <c r="AR130" s="3"/>
      <c r="AS130" s="3"/>
    </row>
    <row r="131" spans="1:45" ht="15">
      <c r="A131" s="66" t="s">
        <v>216</v>
      </c>
      <c r="B131" s="67"/>
      <c r="C131" s="67"/>
      <c r="D131" s="68"/>
      <c r="E131" s="70"/>
      <c r="F131" s="100" t="str">
        <f>HYPERLINK("https://i.ytimg.com/vi/CNLDTWUrXis/default.jpg")</f>
        <v>https://i.ytimg.com/vi/CNLDTWUrXis/default.jpg</v>
      </c>
      <c r="G131" s="67"/>
      <c r="H131" s="71"/>
      <c r="I131" s="72"/>
      <c r="J131" s="72"/>
      <c r="K131" s="71" t="s">
        <v>1373</v>
      </c>
      <c r="L131" s="75"/>
      <c r="M131" s="76">
        <v>6334.8193359375</v>
      </c>
      <c r="N131" s="76">
        <v>4642.95556640625</v>
      </c>
      <c r="O131" s="77"/>
      <c r="P131" s="78"/>
      <c r="Q131" s="78"/>
      <c r="R131" s="82"/>
      <c r="S131" s="82"/>
      <c r="T131" s="82"/>
      <c r="U131" s="82"/>
      <c r="V131" s="52"/>
      <c r="W131" s="52"/>
      <c r="X131" s="52"/>
      <c r="Y131" s="52"/>
      <c r="Z131" s="51"/>
      <c r="AA131" s="73">
        <v>131</v>
      </c>
      <c r="AB131" s="73"/>
      <c r="AC131" s="74"/>
      <c r="AD131" s="80" t="s">
        <v>1373</v>
      </c>
      <c r="AE131" s="80" t="s">
        <v>2401</v>
      </c>
      <c r="AF131" s="80" t="s">
        <v>3269</v>
      </c>
      <c r="AG131" s="80" t="s">
        <v>3959</v>
      </c>
      <c r="AH131" s="80" t="s">
        <v>4684</v>
      </c>
      <c r="AI131" s="80">
        <v>11125</v>
      </c>
      <c r="AJ131" s="80">
        <v>7</v>
      </c>
      <c r="AK131" s="80">
        <v>128</v>
      </c>
      <c r="AL131" s="80">
        <v>7</v>
      </c>
      <c r="AM131" s="80" t="s">
        <v>5614</v>
      </c>
      <c r="AN131" s="102" t="str">
        <f>HYPERLINK("https://www.youtube.com/watch?v=CNLDTWUrXis")</f>
        <v>https://www.youtube.com/watch?v=CNLDTWUrXis</v>
      </c>
      <c r="AO131" s="2"/>
      <c r="AP131" s="3"/>
      <c r="AQ131" s="3"/>
      <c r="AR131" s="3"/>
      <c r="AS131" s="3"/>
    </row>
    <row r="132" spans="1:45" ht="15">
      <c r="A132" s="66" t="s">
        <v>341</v>
      </c>
      <c r="B132" s="67"/>
      <c r="C132" s="67"/>
      <c r="D132" s="68"/>
      <c r="E132" s="70"/>
      <c r="F132" s="100" t="str">
        <f>HYPERLINK("https://i.ytimg.com/vi/ShOffs310nk/default.jpg")</f>
        <v>https://i.ytimg.com/vi/ShOffs310nk/default.jpg</v>
      </c>
      <c r="G132" s="67"/>
      <c r="H132" s="71"/>
      <c r="I132" s="72"/>
      <c r="J132" s="72"/>
      <c r="K132" s="71" t="s">
        <v>1374</v>
      </c>
      <c r="L132" s="75"/>
      <c r="M132" s="76">
        <v>7973.3154296875</v>
      </c>
      <c r="N132" s="76">
        <v>4125.7919921875</v>
      </c>
      <c r="O132" s="77"/>
      <c r="P132" s="78"/>
      <c r="Q132" s="78"/>
      <c r="R132" s="82"/>
      <c r="S132" s="82"/>
      <c r="T132" s="82"/>
      <c r="U132" s="82"/>
      <c r="V132" s="52"/>
      <c r="W132" s="52"/>
      <c r="X132" s="52"/>
      <c r="Y132" s="52"/>
      <c r="Z132" s="51"/>
      <c r="AA132" s="73">
        <v>132</v>
      </c>
      <c r="AB132" s="73"/>
      <c r="AC132" s="74"/>
      <c r="AD132" s="80" t="s">
        <v>1374</v>
      </c>
      <c r="AE132" s="80" t="s">
        <v>2402</v>
      </c>
      <c r="AF132" s="80" t="s">
        <v>1374</v>
      </c>
      <c r="AG132" s="80" t="s">
        <v>3960</v>
      </c>
      <c r="AH132" s="80" t="s">
        <v>4685</v>
      </c>
      <c r="AI132" s="80">
        <v>1217</v>
      </c>
      <c r="AJ132" s="80">
        <v>0</v>
      </c>
      <c r="AK132" s="80">
        <v>6</v>
      </c>
      <c r="AL132" s="80">
        <v>1</v>
      </c>
      <c r="AM132" s="80" t="s">
        <v>5614</v>
      </c>
      <c r="AN132" s="102" t="str">
        <f>HYPERLINK("https://www.youtube.com/watch?v=ShOffs310nk")</f>
        <v>https://www.youtube.com/watch?v=ShOffs310nk</v>
      </c>
      <c r="AO132" s="2"/>
      <c r="AP132" s="3"/>
      <c r="AQ132" s="3"/>
      <c r="AR132" s="3"/>
      <c r="AS132" s="3"/>
    </row>
    <row r="133" spans="1:45" ht="15">
      <c r="A133" s="66" t="s">
        <v>342</v>
      </c>
      <c r="B133" s="67"/>
      <c r="C133" s="67"/>
      <c r="D133" s="68"/>
      <c r="E133" s="70"/>
      <c r="F133" s="100" t="str">
        <f>HYPERLINK("https://i.ytimg.com/vi/6pH_NSWy5L4/default.jpg")</f>
        <v>https://i.ytimg.com/vi/6pH_NSWy5L4/default.jpg</v>
      </c>
      <c r="G133" s="67"/>
      <c r="H133" s="71"/>
      <c r="I133" s="72"/>
      <c r="J133" s="72"/>
      <c r="K133" s="71" t="s">
        <v>1375</v>
      </c>
      <c r="L133" s="75"/>
      <c r="M133" s="76">
        <v>5489.263671875</v>
      </c>
      <c r="N133" s="76">
        <v>3166.109375</v>
      </c>
      <c r="O133" s="77"/>
      <c r="P133" s="78"/>
      <c r="Q133" s="78"/>
      <c r="R133" s="82"/>
      <c r="S133" s="82"/>
      <c r="T133" s="82"/>
      <c r="U133" s="82"/>
      <c r="V133" s="52"/>
      <c r="W133" s="52"/>
      <c r="X133" s="52"/>
      <c r="Y133" s="52"/>
      <c r="Z133" s="51"/>
      <c r="AA133" s="73">
        <v>133</v>
      </c>
      <c r="AB133" s="73"/>
      <c r="AC133" s="74"/>
      <c r="AD133" s="80" t="s">
        <v>1375</v>
      </c>
      <c r="AE133" s="80" t="s">
        <v>2403</v>
      </c>
      <c r="AF133" s="80" t="s">
        <v>3270</v>
      </c>
      <c r="AG133" s="80" t="s">
        <v>3961</v>
      </c>
      <c r="AH133" s="80" t="s">
        <v>4686</v>
      </c>
      <c r="AI133" s="80">
        <v>1253</v>
      </c>
      <c r="AJ133" s="80">
        <v>2</v>
      </c>
      <c r="AK133" s="80">
        <v>4</v>
      </c>
      <c r="AL133" s="80">
        <v>0</v>
      </c>
      <c r="AM133" s="80" t="s">
        <v>5614</v>
      </c>
      <c r="AN133" s="102" t="str">
        <f>HYPERLINK("https://www.youtube.com/watch?v=6pH_NSWy5L4")</f>
        <v>https://www.youtube.com/watch?v=6pH_NSWy5L4</v>
      </c>
      <c r="AO133" s="2"/>
      <c r="AP133" s="3"/>
      <c r="AQ133" s="3"/>
      <c r="AR133" s="3"/>
      <c r="AS133" s="3"/>
    </row>
    <row r="134" spans="1:45" ht="15">
      <c r="A134" s="66" t="s">
        <v>343</v>
      </c>
      <c r="B134" s="67"/>
      <c r="C134" s="67"/>
      <c r="D134" s="68"/>
      <c r="E134" s="70"/>
      <c r="F134" s="100" t="str">
        <f>HYPERLINK("https://i.ytimg.com/vi/HqElgdEn_Hc/default.jpg")</f>
        <v>https://i.ytimg.com/vi/HqElgdEn_Hc/default.jpg</v>
      </c>
      <c r="G134" s="67"/>
      <c r="H134" s="71"/>
      <c r="I134" s="72"/>
      <c r="J134" s="72"/>
      <c r="K134" s="71" t="s">
        <v>1376</v>
      </c>
      <c r="L134" s="75"/>
      <c r="M134" s="76">
        <v>6729.91943359375</v>
      </c>
      <c r="N134" s="76">
        <v>3232.9208984375</v>
      </c>
      <c r="O134" s="77"/>
      <c r="P134" s="78"/>
      <c r="Q134" s="78"/>
      <c r="R134" s="82"/>
      <c r="S134" s="82"/>
      <c r="T134" s="82"/>
      <c r="U134" s="82"/>
      <c r="V134" s="52"/>
      <c r="W134" s="52"/>
      <c r="X134" s="52"/>
      <c r="Y134" s="52"/>
      <c r="Z134" s="51"/>
      <c r="AA134" s="73">
        <v>134</v>
      </c>
      <c r="AB134" s="73"/>
      <c r="AC134" s="74"/>
      <c r="AD134" s="80" t="s">
        <v>1376</v>
      </c>
      <c r="AE134" s="80" t="s">
        <v>2404</v>
      </c>
      <c r="AF134" s="80" t="s">
        <v>3271</v>
      </c>
      <c r="AG134" s="80" t="s">
        <v>3962</v>
      </c>
      <c r="AH134" s="80" t="s">
        <v>4687</v>
      </c>
      <c r="AI134" s="80">
        <v>61357</v>
      </c>
      <c r="AJ134" s="80">
        <v>18</v>
      </c>
      <c r="AK134" s="80">
        <v>0</v>
      </c>
      <c r="AL134" s="80">
        <v>0</v>
      </c>
      <c r="AM134" s="80" t="s">
        <v>5614</v>
      </c>
      <c r="AN134" s="102" t="str">
        <f>HYPERLINK("https://www.youtube.com/watch?v=HqElgdEn_Hc")</f>
        <v>https://www.youtube.com/watch?v=HqElgdEn_Hc</v>
      </c>
      <c r="AO134" s="2"/>
      <c r="AP134" s="3"/>
      <c r="AQ134" s="3"/>
      <c r="AR134" s="3"/>
      <c r="AS134" s="3"/>
    </row>
    <row r="135" spans="1:45" ht="15">
      <c r="A135" s="66" t="s">
        <v>344</v>
      </c>
      <c r="B135" s="67"/>
      <c r="C135" s="67"/>
      <c r="D135" s="68"/>
      <c r="E135" s="70"/>
      <c r="F135" s="100" t="str">
        <f>HYPERLINK("https://i.ytimg.com/vi/HInaNsBHJ_Y/default.jpg")</f>
        <v>https://i.ytimg.com/vi/HInaNsBHJ_Y/default.jpg</v>
      </c>
      <c r="G135" s="67"/>
      <c r="H135" s="71"/>
      <c r="I135" s="72"/>
      <c r="J135" s="72"/>
      <c r="K135" s="71" t="s">
        <v>1377</v>
      </c>
      <c r="L135" s="75"/>
      <c r="M135" s="76">
        <v>9238.2646484375</v>
      </c>
      <c r="N135" s="76">
        <v>2898.170166015625</v>
      </c>
      <c r="O135" s="77"/>
      <c r="P135" s="78"/>
      <c r="Q135" s="78"/>
      <c r="R135" s="82"/>
      <c r="S135" s="82"/>
      <c r="T135" s="82"/>
      <c r="U135" s="82"/>
      <c r="V135" s="52"/>
      <c r="W135" s="52"/>
      <c r="X135" s="52"/>
      <c r="Y135" s="52"/>
      <c r="Z135" s="51"/>
      <c r="AA135" s="73">
        <v>135</v>
      </c>
      <c r="AB135" s="73"/>
      <c r="AC135" s="74"/>
      <c r="AD135" s="80" t="s">
        <v>1377</v>
      </c>
      <c r="AE135" s="80"/>
      <c r="AF135" s="80"/>
      <c r="AG135" s="80" t="s">
        <v>3963</v>
      </c>
      <c r="AH135" s="80" t="s">
        <v>4688</v>
      </c>
      <c r="AI135" s="80">
        <v>48252</v>
      </c>
      <c r="AJ135" s="80">
        <v>8</v>
      </c>
      <c r="AK135" s="80">
        <v>672</v>
      </c>
      <c r="AL135" s="80">
        <v>29</v>
      </c>
      <c r="AM135" s="80" t="s">
        <v>5614</v>
      </c>
      <c r="AN135" s="102" t="str">
        <f>HYPERLINK("https://www.youtube.com/watch?v=HInaNsBHJ_Y")</f>
        <v>https://www.youtube.com/watch?v=HInaNsBHJ_Y</v>
      </c>
      <c r="AO135" s="2"/>
      <c r="AP135" s="3"/>
      <c r="AQ135" s="3"/>
      <c r="AR135" s="3"/>
      <c r="AS135" s="3"/>
    </row>
    <row r="136" spans="1:45" ht="15">
      <c r="A136" s="66" t="s">
        <v>345</v>
      </c>
      <c r="B136" s="67"/>
      <c r="C136" s="67"/>
      <c r="D136" s="68"/>
      <c r="E136" s="70"/>
      <c r="F136" s="100" t="str">
        <f>HYPERLINK("https://i.ytimg.com/vi/Y3demSqio0E/default.jpg")</f>
        <v>https://i.ytimg.com/vi/Y3demSqio0E/default.jpg</v>
      </c>
      <c r="G136" s="67"/>
      <c r="H136" s="71"/>
      <c r="I136" s="72"/>
      <c r="J136" s="72"/>
      <c r="K136" s="71" t="s">
        <v>1378</v>
      </c>
      <c r="L136" s="75"/>
      <c r="M136" s="76">
        <v>5967.06494140625</v>
      </c>
      <c r="N136" s="76">
        <v>3061.054443359375</v>
      </c>
      <c r="O136" s="77"/>
      <c r="P136" s="78"/>
      <c r="Q136" s="78"/>
      <c r="R136" s="82"/>
      <c r="S136" s="82"/>
      <c r="T136" s="82"/>
      <c r="U136" s="82"/>
      <c r="V136" s="52"/>
      <c r="W136" s="52"/>
      <c r="X136" s="52"/>
      <c r="Y136" s="52"/>
      <c r="Z136" s="51"/>
      <c r="AA136" s="73">
        <v>136</v>
      </c>
      <c r="AB136" s="73"/>
      <c r="AC136" s="74"/>
      <c r="AD136" s="80" t="s">
        <v>1378</v>
      </c>
      <c r="AE136" s="80"/>
      <c r="AF136" s="80"/>
      <c r="AG136" s="80" t="s">
        <v>3964</v>
      </c>
      <c r="AH136" s="80" t="s">
        <v>4689</v>
      </c>
      <c r="AI136" s="80">
        <v>22718</v>
      </c>
      <c r="AJ136" s="80">
        <v>3</v>
      </c>
      <c r="AK136" s="80">
        <v>175</v>
      </c>
      <c r="AL136" s="80">
        <v>13</v>
      </c>
      <c r="AM136" s="80" t="s">
        <v>5614</v>
      </c>
      <c r="AN136" s="102" t="str">
        <f>HYPERLINK("https://www.youtube.com/watch?v=Y3demSqio0E")</f>
        <v>https://www.youtube.com/watch?v=Y3demSqio0E</v>
      </c>
      <c r="AO136" s="2"/>
      <c r="AP136" s="3"/>
      <c r="AQ136" s="3"/>
      <c r="AR136" s="3"/>
      <c r="AS136" s="3"/>
    </row>
    <row r="137" spans="1:45" ht="15">
      <c r="A137" s="66" t="s">
        <v>346</v>
      </c>
      <c r="B137" s="67"/>
      <c r="C137" s="67"/>
      <c r="D137" s="68"/>
      <c r="E137" s="70"/>
      <c r="F137" s="100" t="str">
        <f>HYPERLINK("https://i.ytimg.com/vi/tC6riRQ14_A/default.jpg")</f>
        <v>https://i.ytimg.com/vi/tC6riRQ14_A/default.jpg</v>
      </c>
      <c r="G137" s="67"/>
      <c r="H137" s="71"/>
      <c r="I137" s="72"/>
      <c r="J137" s="72"/>
      <c r="K137" s="71" t="s">
        <v>1379</v>
      </c>
      <c r="L137" s="75"/>
      <c r="M137" s="76">
        <v>6982.9501953125</v>
      </c>
      <c r="N137" s="76">
        <v>4313.19580078125</v>
      </c>
      <c r="O137" s="77"/>
      <c r="P137" s="78"/>
      <c r="Q137" s="78"/>
      <c r="R137" s="82"/>
      <c r="S137" s="82"/>
      <c r="T137" s="82"/>
      <c r="U137" s="82"/>
      <c r="V137" s="52"/>
      <c r="W137" s="52"/>
      <c r="X137" s="52"/>
      <c r="Y137" s="52"/>
      <c r="Z137" s="51"/>
      <c r="AA137" s="73">
        <v>137</v>
      </c>
      <c r="AB137" s="73"/>
      <c r="AC137" s="74"/>
      <c r="AD137" s="80" t="s">
        <v>1379</v>
      </c>
      <c r="AE137" s="80"/>
      <c r="AF137" s="80" t="s">
        <v>1379</v>
      </c>
      <c r="AG137" s="80" t="s">
        <v>3965</v>
      </c>
      <c r="AH137" s="80" t="s">
        <v>4690</v>
      </c>
      <c r="AI137" s="80">
        <v>40291</v>
      </c>
      <c r="AJ137" s="80">
        <v>2</v>
      </c>
      <c r="AK137" s="80">
        <v>205</v>
      </c>
      <c r="AL137" s="80">
        <v>12</v>
      </c>
      <c r="AM137" s="80" t="s">
        <v>5614</v>
      </c>
      <c r="AN137" s="102" t="str">
        <f>HYPERLINK("https://www.youtube.com/watch?v=tC6riRQ14_A")</f>
        <v>https://www.youtube.com/watch?v=tC6riRQ14_A</v>
      </c>
      <c r="AO137" s="2"/>
      <c r="AP137" s="3"/>
      <c r="AQ137" s="3"/>
      <c r="AR137" s="3"/>
      <c r="AS137" s="3"/>
    </row>
    <row r="138" spans="1:45" ht="15">
      <c r="A138" s="66" t="s">
        <v>347</v>
      </c>
      <c r="B138" s="67"/>
      <c r="C138" s="67"/>
      <c r="D138" s="68"/>
      <c r="E138" s="70"/>
      <c r="F138" s="100" t="str">
        <f>HYPERLINK("https://i.ytimg.com/vi/Dp8EroWFo4U/default.jpg")</f>
        <v>https://i.ytimg.com/vi/Dp8EroWFo4U/default.jpg</v>
      </c>
      <c r="G138" s="67"/>
      <c r="H138" s="71"/>
      <c r="I138" s="72"/>
      <c r="J138" s="72"/>
      <c r="K138" s="71" t="s">
        <v>1380</v>
      </c>
      <c r="L138" s="75"/>
      <c r="M138" s="76">
        <v>8188.53271484375</v>
      </c>
      <c r="N138" s="76">
        <v>1625.9920654296875</v>
      </c>
      <c r="O138" s="77"/>
      <c r="P138" s="78"/>
      <c r="Q138" s="78"/>
      <c r="R138" s="82"/>
      <c r="S138" s="82"/>
      <c r="T138" s="82"/>
      <c r="U138" s="82"/>
      <c r="V138" s="52"/>
      <c r="W138" s="52"/>
      <c r="X138" s="52"/>
      <c r="Y138" s="52"/>
      <c r="Z138" s="51"/>
      <c r="AA138" s="73">
        <v>138</v>
      </c>
      <c r="AB138" s="73"/>
      <c r="AC138" s="74"/>
      <c r="AD138" s="80" t="s">
        <v>1380</v>
      </c>
      <c r="AE138" s="80" t="s">
        <v>2405</v>
      </c>
      <c r="AF138" s="80" t="s">
        <v>3272</v>
      </c>
      <c r="AG138" s="80" t="s">
        <v>3966</v>
      </c>
      <c r="AH138" s="80" t="s">
        <v>4691</v>
      </c>
      <c r="AI138" s="80">
        <v>430242</v>
      </c>
      <c r="AJ138" s="80">
        <v>43</v>
      </c>
      <c r="AK138" s="80">
        <v>992</v>
      </c>
      <c r="AL138" s="80">
        <v>110</v>
      </c>
      <c r="AM138" s="80" t="s">
        <v>5614</v>
      </c>
      <c r="AN138" s="102" t="str">
        <f>HYPERLINK("https://www.youtube.com/watch?v=Dp8EroWFo4U")</f>
        <v>https://www.youtube.com/watch?v=Dp8EroWFo4U</v>
      </c>
      <c r="AO138" s="2"/>
      <c r="AP138" s="3"/>
      <c r="AQ138" s="3"/>
      <c r="AR138" s="3"/>
      <c r="AS138" s="3"/>
    </row>
    <row r="139" spans="1:45" ht="15">
      <c r="A139" s="66" t="s">
        <v>348</v>
      </c>
      <c r="B139" s="67"/>
      <c r="C139" s="67"/>
      <c r="D139" s="68"/>
      <c r="E139" s="70"/>
      <c r="F139" s="100" t="str">
        <f>HYPERLINK("https://i.ytimg.com/vi/WKCoY_3q38M/default.jpg")</f>
        <v>https://i.ytimg.com/vi/WKCoY_3q38M/default.jpg</v>
      </c>
      <c r="G139" s="67"/>
      <c r="H139" s="71"/>
      <c r="I139" s="72"/>
      <c r="J139" s="72"/>
      <c r="K139" s="71" t="s">
        <v>1381</v>
      </c>
      <c r="L139" s="75"/>
      <c r="M139" s="76">
        <v>6639.38818359375</v>
      </c>
      <c r="N139" s="76">
        <v>4013.06689453125</v>
      </c>
      <c r="O139" s="77"/>
      <c r="P139" s="78"/>
      <c r="Q139" s="78"/>
      <c r="R139" s="82"/>
      <c r="S139" s="82"/>
      <c r="T139" s="82"/>
      <c r="U139" s="82"/>
      <c r="V139" s="52"/>
      <c r="W139" s="52"/>
      <c r="X139" s="52"/>
      <c r="Y139" s="52"/>
      <c r="Z139" s="51"/>
      <c r="AA139" s="73">
        <v>139</v>
      </c>
      <c r="AB139" s="73"/>
      <c r="AC139" s="74"/>
      <c r="AD139" s="80" t="s">
        <v>1381</v>
      </c>
      <c r="AE139" s="80" t="s">
        <v>2406</v>
      </c>
      <c r="AF139" s="80" t="s">
        <v>3273</v>
      </c>
      <c r="AG139" s="80" t="s">
        <v>3967</v>
      </c>
      <c r="AH139" s="80" t="s">
        <v>4692</v>
      </c>
      <c r="AI139" s="80">
        <v>56860</v>
      </c>
      <c r="AJ139" s="80">
        <v>22</v>
      </c>
      <c r="AK139" s="80">
        <v>617</v>
      </c>
      <c r="AL139" s="80">
        <v>32</v>
      </c>
      <c r="AM139" s="80" t="s">
        <v>5614</v>
      </c>
      <c r="AN139" s="102" t="str">
        <f>HYPERLINK("https://www.youtube.com/watch?v=WKCoY_3q38M")</f>
        <v>https://www.youtube.com/watch?v=WKCoY_3q38M</v>
      </c>
      <c r="AO139" s="2"/>
      <c r="AP139" s="3"/>
      <c r="AQ139" s="3"/>
      <c r="AR139" s="3"/>
      <c r="AS139" s="3"/>
    </row>
    <row r="140" spans="1:45" ht="15">
      <c r="A140" s="66" t="s">
        <v>349</v>
      </c>
      <c r="B140" s="67"/>
      <c r="C140" s="67"/>
      <c r="D140" s="68"/>
      <c r="E140" s="70"/>
      <c r="F140" s="100" t="str">
        <f>HYPERLINK("https://i.ytimg.com/vi/_agr--4S698/default_live.jpg")</f>
        <v>https://i.ytimg.com/vi/_agr--4S698/default_live.jpg</v>
      </c>
      <c r="G140" s="67"/>
      <c r="H140" s="71"/>
      <c r="I140" s="72"/>
      <c r="J140" s="72"/>
      <c r="K140" s="71" t="s">
        <v>1382</v>
      </c>
      <c r="L140" s="75"/>
      <c r="M140" s="76">
        <v>5670.65625</v>
      </c>
      <c r="N140" s="76">
        <v>3932.90478515625</v>
      </c>
      <c r="O140" s="77"/>
      <c r="P140" s="78"/>
      <c r="Q140" s="78"/>
      <c r="R140" s="82"/>
      <c r="S140" s="82"/>
      <c r="T140" s="82"/>
      <c r="U140" s="82"/>
      <c r="V140" s="52"/>
      <c r="W140" s="52"/>
      <c r="X140" s="52"/>
      <c r="Y140" s="52"/>
      <c r="Z140" s="51"/>
      <c r="AA140" s="73">
        <v>140</v>
      </c>
      <c r="AB140" s="73"/>
      <c r="AC140" s="74"/>
      <c r="AD140" s="80" t="s">
        <v>1382</v>
      </c>
      <c r="AE140" s="80" t="s">
        <v>2407</v>
      </c>
      <c r="AF140" s="80"/>
      <c r="AG140" s="80" t="s">
        <v>3968</v>
      </c>
      <c r="AH140" s="80" t="s">
        <v>4693</v>
      </c>
      <c r="AI140" s="80">
        <v>708</v>
      </c>
      <c r="AJ140" s="80">
        <v>0</v>
      </c>
      <c r="AK140" s="80">
        <v>111</v>
      </c>
      <c r="AL140" s="80">
        <v>0</v>
      </c>
      <c r="AM140" s="80" t="s">
        <v>5614</v>
      </c>
      <c r="AN140" s="102" t="str">
        <f>HYPERLINK("https://www.youtube.com/watch?v=_agr--4S698")</f>
        <v>https://www.youtube.com/watch?v=_agr--4S698</v>
      </c>
      <c r="AO140" s="2"/>
      <c r="AP140" s="3"/>
      <c r="AQ140" s="3"/>
      <c r="AR140" s="3"/>
      <c r="AS140" s="3"/>
    </row>
    <row r="141" spans="1:45" ht="15">
      <c r="A141" s="66" t="s">
        <v>212</v>
      </c>
      <c r="B141" s="67"/>
      <c r="C141" s="67"/>
      <c r="D141" s="68"/>
      <c r="E141" s="70"/>
      <c r="F141" s="100" t="str">
        <f>HYPERLINK("https://i.ytimg.com/vi/EXDjgb6vNdA/default.jpg")</f>
        <v>https://i.ytimg.com/vi/EXDjgb6vNdA/default.jpg</v>
      </c>
      <c r="G141" s="67"/>
      <c r="H141" s="71"/>
      <c r="I141" s="72"/>
      <c r="J141" s="72"/>
      <c r="K141" s="71" t="s">
        <v>1383</v>
      </c>
      <c r="L141" s="75"/>
      <c r="M141" s="76">
        <v>5188.31591796875</v>
      </c>
      <c r="N141" s="76">
        <v>3780.948974609375</v>
      </c>
      <c r="O141" s="77"/>
      <c r="P141" s="78"/>
      <c r="Q141" s="78"/>
      <c r="R141" s="82"/>
      <c r="S141" s="82"/>
      <c r="T141" s="82"/>
      <c r="U141" s="82"/>
      <c r="V141" s="52"/>
      <c r="W141" s="52"/>
      <c r="X141" s="52"/>
      <c r="Y141" s="52"/>
      <c r="Z141" s="51"/>
      <c r="AA141" s="73">
        <v>141</v>
      </c>
      <c r="AB141" s="73"/>
      <c r="AC141" s="74"/>
      <c r="AD141" s="80" t="s">
        <v>1383</v>
      </c>
      <c r="AE141" s="80" t="s">
        <v>2408</v>
      </c>
      <c r="AF141" s="80" t="s">
        <v>3274</v>
      </c>
      <c r="AG141" s="80" t="s">
        <v>3877</v>
      </c>
      <c r="AH141" s="80" t="s">
        <v>4694</v>
      </c>
      <c r="AI141" s="80">
        <v>3479</v>
      </c>
      <c r="AJ141" s="80">
        <v>0</v>
      </c>
      <c r="AK141" s="80">
        <v>9</v>
      </c>
      <c r="AL141" s="80">
        <v>1</v>
      </c>
      <c r="AM141" s="80" t="s">
        <v>5614</v>
      </c>
      <c r="AN141" s="102" t="str">
        <f>HYPERLINK("https://www.youtube.com/watch?v=EXDjgb6vNdA")</f>
        <v>https://www.youtube.com/watch?v=EXDjgb6vNdA</v>
      </c>
      <c r="AO141" s="2"/>
      <c r="AP141" s="3"/>
      <c r="AQ141" s="3"/>
      <c r="AR141" s="3"/>
      <c r="AS141" s="3"/>
    </row>
    <row r="142" spans="1:45" ht="15">
      <c r="A142" s="66" t="s">
        <v>350</v>
      </c>
      <c r="B142" s="67"/>
      <c r="C142" s="67"/>
      <c r="D142" s="68"/>
      <c r="E142" s="70"/>
      <c r="F142" s="100" t="str">
        <f>HYPERLINK("https://i.ytimg.com/vi/zeRYWiRQWvU/default.jpg")</f>
        <v>https://i.ytimg.com/vi/zeRYWiRQWvU/default.jpg</v>
      </c>
      <c r="G142" s="67"/>
      <c r="H142" s="71"/>
      <c r="I142" s="72"/>
      <c r="J142" s="72"/>
      <c r="K142" s="71" t="s">
        <v>1384</v>
      </c>
      <c r="L142" s="75"/>
      <c r="M142" s="76">
        <v>7940.81005859375</v>
      </c>
      <c r="N142" s="76">
        <v>2159.7265625</v>
      </c>
      <c r="O142" s="77"/>
      <c r="P142" s="78"/>
      <c r="Q142" s="78"/>
      <c r="R142" s="82"/>
      <c r="S142" s="82"/>
      <c r="T142" s="82"/>
      <c r="U142" s="82"/>
      <c r="V142" s="52"/>
      <c r="W142" s="52"/>
      <c r="X142" s="52"/>
      <c r="Y142" s="52"/>
      <c r="Z142" s="51"/>
      <c r="AA142" s="73">
        <v>142</v>
      </c>
      <c r="AB142" s="73"/>
      <c r="AC142" s="74"/>
      <c r="AD142" s="80" t="s">
        <v>1384</v>
      </c>
      <c r="AE142" s="80" t="s">
        <v>2409</v>
      </c>
      <c r="AF142" s="80"/>
      <c r="AG142" s="80" t="s">
        <v>3969</v>
      </c>
      <c r="AH142" s="80" t="s">
        <v>4695</v>
      </c>
      <c r="AI142" s="80">
        <v>1815117</v>
      </c>
      <c r="AJ142" s="80">
        <v>141</v>
      </c>
      <c r="AK142" s="80">
        <v>11033</v>
      </c>
      <c r="AL142" s="80">
        <v>436</v>
      </c>
      <c r="AM142" s="80" t="s">
        <v>5614</v>
      </c>
      <c r="AN142" s="102" t="str">
        <f>HYPERLINK("https://www.youtube.com/watch?v=zeRYWiRQWvU")</f>
        <v>https://www.youtube.com/watch?v=zeRYWiRQWvU</v>
      </c>
      <c r="AO142" s="2"/>
      <c r="AP142" s="3"/>
      <c r="AQ142" s="3"/>
      <c r="AR142" s="3"/>
      <c r="AS142" s="3"/>
    </row>
    <row r="143" spans="1:45" ht="15">
      <c r="A143" s="66" t="s">
        <v>351</v>
      </c>
      <c r="B143" s="67"/>
      <c r="C143" s="67"/>
      <c r="D143" s="68"/>
      <c r="E143" s="70"/>
      <c r="F143" s="100" t="str">
        <f>HYPERLINK("https://i.ytimg.com/vi/EMWO51hDdAw/default.jpg")</f>
        <v>https://i.ytimg.com/vi/EMWO51hDdAw/default.jpg</v>
      </c>
      <c r="G143" s="67"/>
      <c r="H143" s="71"/>
      <c r="I143" s="72"/>
      <c r="J143" s="72"/>
      <c r="K143" s="71" t="s">
        <v>1385</v>
      </c>
      <c r="L143" s="75"/>
      <c r="M143" s="76">
        <v>8992.9853515625</v>
      </c>
      <c r="N143" s="76">
        <v>4331.22021484375</v>
      </c>
      <c r="O143" s="77"/>
      <c r="P143" s="78"/>
      <c r="Q143" s="78"/>
      <c r="R143" s="82"/>
      <c r="S143" s="82"/>
      <c r="T143" s="82"/>
      <c r="U143" s="82"/>
      <c r="V143" s="52"/>
      <c r="W143" s="52"/>
      <c r="X143" s="52"/>
      <c r="Y143" s="52"/>
      <c r="Z143" s="51"/>
      <c r="AA143" s="73">
        <v>143</v>
      </c>
      <c r="AB143" s="73"/>
      <c r="AC143" s="74"/>
      <c r="AD143" s="80" t="s">
        <v>1385</v>
      </c>
      <c r="AE143" s="80"/>
      <c r="AF143" s="80"/>
      <c r="AG143" s="80" t="s">
        <v>3970</v>
      </c>
      <c r="AH143" s="80" t="s">
        <v>4696</v>
      </c>
      <c r="AI143" s="80">
        <v>1199</v>
      </c>
      <c r="AJ143" s="80">
        <v>3</v>
      </c>
      <c r="AK143" s="80">
        <v>11</v>
      </c>
      <c r="AL143" s="80">
        <v>0</v>
      </c>
      <c r="AM143" s="80" t="s">
        <v>5614</v>
      </c>
      <c r="AN143" s="102" t="str">
        <f>HYPERLINK("https://www.youtube.com/watch?v=EMWO51hDdAw")</f>
        <v>https://www.youtube.com/watch?v=EMWO51hDdAw</v>
      </c>
      <c r="AO143" s="2"/>
      <c r="AP143" s="3"/>
      <c r="AQ143" s="3"/>
      <c r="AR143" s="3"/>
      <c r="AS143" s="3"/>
    </row>
    <row r="144" spans="1:45" ht="15">
      <c r="A144" s="66" t="s">
        <v>187</v>
      </c>
      <c r="B144" s="67"/>
      <c r="C144" s="67"/>
      <c r="D144" s="68"/>
      <c r="E144" s="70"/>
      <c r="F144" s="100" t="str">
        <f>HYPERLINK("https://i.ytimg.com/vi/pnCKotgm7ik/default.jpg")</f>
        <v>https://i.ytimg.com/vi/pnCKotgm7ik/default.jpg</v>
      </c>
      <c r="G144" s="67"/>
      <c r="H144" s="71"/>
      <c r="I144" s="72"/>
      <c r="J144" s="72"/>
      <c r="K144" s="71" t="s">
        <v>1386</v>
      </c>
      <c r="L144" s="75"/>
      <c r="M144" s="76">
        <v>7164.54150390625</v>
      </c>
      <c r="N144" s="76">
        <v>3204.290283203125</v>
      </c>
      <c r="O144" s="77"/>
      <c r="P144" s="78"/>
      <c r="Q144" s="78"/>
      <c r="R144" s="82"/>
      <c r="S144" s="82"/>
      <c r="T144" s="82"/>
      <c r="U144" s="82"/>
      <c r="V144" s="52"/>
      <c r="W144" s="52"/>
      <c r="X144" s="52"/>
      <c r="Y144" s="52"/>
      <c r="Z144" s="51"/>
      <c r="AA144" s="73">
        <v>144</v>
      </c>
      <c r="AB144" s="73"/>
      <c r="AC144" s="74"/>
      <c r="AD144" s="80" t="s">
        <v>1386</v>
      </c>
      <c r="AE144" s="80" t="s">
        <v>2410</v>
      </c>
      <c r="AF144" s="80"/>
      <c r="AG144" s="80" t="s">
        <v>3971</v>
      </c>
      <c r="AH144" s="80" t="s">
        <v>4697</v>
      </c>
      <c r="AI144" s="80">
        <v>1117</v>
      </c>
      <c r="AJ144" s="80">
        <v>1</v>
      </c>
      <c r="AK144" s="80">
        <v>12</v>
      </c>
      <c r="AL144" s="80">
        <v>0</v>
      </c>
      <c r="AM144" s="80" t="s">
        <v>5614</v>
      </c>
      <c r="AN144" s="102" t="str">
        <f>HYPERLINK("https://www.youtube.com/watch?v=pnCKotgm7ik")</f>
        <v>https://www.youtube.com/watch?v=pnCKotgm7ik</v>
      </c>
      <c r="AO144" s="2"/>
      <c r="AP144" s="3"/>
      <c r="AQ144" s="3"/>
      <c r="AR144" s="3"/>
      <c r="AS144" s="3"/>
    </row>
    <row r="145" spans="1:45" ht="15">
      <c r="A145" s="66" t="s">
        <v>352</v>
      </c>
      <c r="B145" s="67"/>
      <c r="C145" s="67"/>
      <c r="D145" s="68"/>
      <c r="E145" s="70"/>
      <c r="F145" s="100" t="str">
        <f>HYPERLINK("https://i.ytimg.com/vi/lnF1o6yDWGk/default.jpg")</f>
        <v>https://i.ytimg.com/vi/lnF1o6yDWGk/default.jpg</v>
      </c>
      <c r="G145" s="67"/>
      <c r="H145" s="71"/>
      <c r="I145" s="72"/>
      <c r="J145" s="72"/>
      <c r="K145" s="71" t="s">
        <v>1387</v>
      </c>
      <c r="L145" s="75"/>
      <c r="M145" s="76">
        <v>9297.5830078125</v>
      </c>
      <c r="N145" s="76">
        <v>2201.143310546875</v>
      </c>
      <c r="O145" s="77"/>
      <c r="P145" s="78"/>
      <c r="Q145" s="78"/>
      <c r="R145" s="82"/>
      <c r="S145" s="82"/>
      <c r="T145" s="82"/>
      <c r="U145" s="82"/>
      <c r="V145" s="52"/>
      <c r="W145" s="52"/>
      <c r="X145" s="52"/>
      <c r="Y145" s="52"/>
      <c r="Z145" s="51"/>
      <c r="AA145" s="73">
        <v>145</v>
      </c>
      <c r="AB145" s="73"/>
      <c r="AC145" s="74"/>
      <c r="AD145" s="80" t="s">
        <v>1387</v>
      </c>
      <c r="AE145" s="80" t="s">
        <v>2411</v>
      </c>
      <c r="AF145" s="80" t="s">
        <v>3275</v>
      </c>
      <c r="AG145" s="80" t="s">
        <v>3894</v>
      </c>
      <c r="AH145" s="80" t="s">
        <v>4698</v>
      </c>
      <c r="AI145" s="80">
        <v>9770</v>
      </c>
      <c r="AJ145" s="80">
        <v>20</v>
      </c>
      <c r="AK145" s="80">
        <v>124</v>
      </c>
      <c r="AL145" s="80">
        <v>7</v>
      </c>
      <c r="AM145" s="80" t="s">
        <v>5614</v>
      </c>
      <c r="AN145" s="102" t="str">
        <f>HYPERLINK("https://www.youtube.com/watch?v=lnF1o6yDWGk")</f>
        <v>https://www.youtube.com/watch?v=lnF1o6yDWGk</v>
      </c>
      <c r="AO145" s="2"/>
      <c r="AP145" s="3"/>
      <c r="AQ145" s="3"/>
      <c r="AR145" s="3"/>
      <c r="AS145" s="3"/>
    </row>
    <row r="146" spans="1:45" ht="15">
      <c r="A146" s="66" t="s">
        <v>353</v>
      </c>
      <c r="B146" s="67"/>
      <c r="C146" s="67"/>
      <c r="D146" s="68"/>
      <c r="E146" s="70"/>
      <c r="F146" s="100" t="str">
        <f>HYPERLINK("https://i.ytimg.com/vi/1wr_cdLEXIE/default.jpg")</f>
        <v>https://i.ytimg.com/vi/1wr_cdLEXIE/default.jpg</v>
      </c>
      <c r="G146" s="67"/>
      <c r="H146" s="71"/>
      <c r="I146" s="72"/>
      <c r="J146" s="72"/>
      <c r="K146" s="71" t="s">
        <v>1388</v>
      </c>
      <c r="L146" s="75"/>
      <c r="M146" s="76">
        <v>8800.431640625</v>
      </c>
      <c r="N146" s="76">
        <v>1453.355224609375</v>
      </c>
      <c r="O146" s="77"/>
      <c r="P146" s="78"/>
      <c r="Q146" s="78"/>
      <c r="R146" s="82"/>
      <c r="S146" s="82"/>
      <c r="T146" s="82"/>
      <c r="U146" s="82"/>
      <c r="V146" s="52"/>
      <c r="W146" s="52"/>
      <c r="X146" s="52"/>
      <c r="Y146" s="52"/>
      <c r="Z146" s="51"/>
      <c r="AA146" s="73">
        <v>146</v>
      </c>
      <c r="AB146" s="73"/>
      <c r="AC146" s="74"/>
      <c r="AD146" s="80" t="s">
        <v>1388</v>
      </c>
      <c r="AE146" s="80" t="s">
        <v>2412</v>
      </c>
      <c r="AF146" s="80" t="s">
        <v>3276</v>
      </c>
      <c r="AG146" s="80" t="s">
        <v>3943</v>
      </c>
      <c r="AH146" s="80" t="s">
        <v>4699</v>
      </c>
      <c r="AI146" s="80">
        <v>46032</v>
      </c>
      <c r="AJ146" s="80">
        <v>70</v>
      </c>
      <c r="AK146" s="80">
        <v>2072</v>
      </c>
      <c r="AL146" s="80">
        <v>114</v>
      </c>
      <c r="AM146" s="80" t="s">
        <v>5614</v>
      </c>
      <c r="AN146" s="102" t="str">
        <f>HYPERLINK("https://www.youtube.com/watch?v=1wr_cdLEXIE")</f>
        <v>https://www.youtube.com/watch?v=1wr_cdLEXIE</v>
      </c>
      <c r="AO146" s="2"/>
      <c r="AP146" s="3"/>
      <c r="AQ146" s="3"/>
      <c r="AR146" s="3"/>
      <c r="AS146" s="3"/>
    </row>
    <row r="147" spans="1:45" ht="15">
      <c r="A147" s="66" t="s">
        <v>354</v>
      </c>
      <c r="B147" s="67"/>
      <c r="C147" s="67"/>
      <c r="D147" s="68"/>
      <c r="E147" s="70"/>
      <c r="F147" s="100" t="str">
        <f>HYPERLINK("https://i.ytimg.com/vi/CpF0VdECUQQ/default.jpg")</f>
        <v>https://i.ytimg.com/vi/CpF0VdECUQQ/default.jpg</v>
      </c>
      <c r="G147" s="67"/>
      <c r="H147" s="71"/>
      <c r="I147" s="72"/>
      <c r="J147" s="72"/>
      <c r="K147" s="71" t="s">
        <v>1389</v>
      </c>
      <c r="L147" s="75"/>
      <c r="M147" s="76">
        <v>9029.5458984375</v>
      </c>
      <c r="N147" s="76">
        <v>1902.7384033203125</v>
      </c>
      <c r="O147" s="77"/>
      <c r="P147" s="78"/>
      <c r="Q147" s="78"/>
      <c r="R147" s="82"/>
      <c r="S147" s="82"/>
      <c r="T147" s="82"/>
      <c r="U147" s="82"/>
      <c r="V147" s="52"/>
      <c r="W147" s="52"/>
      <c r="X147" s="52"/>
      <c r="Y147" s="52"/>
      <c r="Z147" s="51"/>
      <c r="AA147" s="73">
        <v>147</v>
      </c>
      <c r="AB147" s="73"/>
      <c r="AC147" s="74"/>
      <c r="AD147" s="80" t="s">
        <v>1389</v>
      </c>
      <c r="AE147" s="80" t="s">
        <v>2413</v>
      </c>
      <c r="AF147" s="80" t="s">
        <v>3277</v>
      </c>
      <c r="AG147" s="80" t="s">
        <v>3972</v>
      </c>
      <c r="AH147" s="80" t="s">
        <v>4700</v>
      </c>
      <c r="AI147" s="80">
        <v>416725</v>
      </c>
      <c r="AJ147" s="80">
        <v>185</v>
      </c>
      <c r="AK147" s="80">
        <v>3122</v>
      </c>
      <c r="AL147" s="80">
        <v>217</v>
      </c>
      <c r="AM147" s="80" t="s">
        <v>5614</v>
      </c>
      <c r="AN147" s="102" t="str">
        <f>HYPERLINK("https://www.youtube.com/watch?v=CpF0VdECUQQ")</f>
        <v>https://www.youtube.com/watch?v=CpF0VdECUQQ</v>
      </c>
      <c r="AO147" s="2"/>
      <c r="AP147" s="3"/>
      <c r="AQ147" s="3"/>
      <c r="AR147" s="3"/>
      <c r="AS147" s="3"/>
    </row>
    <row r="148" spans="1:45" ht="15">
      <c r="A148" s="66" t="s">
        <v>355</v>
      </c>
      <c r="B148" s="67"/>
      <c r="C148" s="67"/>
      <c r="D148" s="68"/>
      <c r="E148" s="70"/>
      <c r="F148" s="100" t="str">
        <f>HYPERLINK("https://i.ytimg.com/vi/7iHONpg4R88/default.jpg")</f>
        <v>https://i.ytimg.com/vi/7iHONpg4R88/default.jpg</v>
      </c>
      <c r="G148" s="67"/>
      <c r="H148" s="71"/>
      <c r="I148" s="72"/>
      <c r="J148" s="72"/>
      <c r="K148" s="71" t="s">
        <v>1390</v>
      </c>
      <c r="L148" s="75"/>
      <c r="M148" s="76">
        <v>8838.626953125</v>
      </c>
      <c r="N148" s="76">
        <v>1616.8282470703125</v>
      </c>
      <c r="O148" s="77"/>
      <c r="P148" s="78"/>
      <c r="Q148" s="78"/>
      <c r="R148" s="82"/>
      <c r="S148" s="82"/>
      <c r="T148" s="82"/>
      <c r="U148" s="82"/>
      <c r="V148" s="52"/>
      <c r="W148" s="52"/>
      <c r="X148" s="52"/>
      <c r="Y148" s="52"/>
      <c r="Z148" s="51"/>
      <c r="AA148" s="73">
        <v>148</v>
      </c>
      <c r="AB148" s="73"/>
      <c r="AC148" s="74"/>
      <c r="AD148" s="80" t="s">
        <v>1390</v>
      </c>
      <c r="AE148" s="80" t="s">
        <v>2413</v>
      </c>
      <c r="AF148" s="80" t="s">
        <v>3277</v>
      </c>
      <c r="AG148" s="80" t="s">
        <v>3972</v>
      </c>
      <c r="AH148" s="80" t="s">
        <v>4701</v>
      </c>
      <c r="AI148" s="80">
        <v>339033</v>
      </c>
      <c r="AJ148" s="80">
        <v>174</v>
      </c>
      <c r="AK148" s="80">
        <v>2743</v>
      </c>
      <c r="AL148" s="80">
        <v>204</v>
      </c>
      <c r="AM148" s="80" t="s">
        <v>5614</v>
      </c>
      <c r="AN148" s="102" t="str">
        <f>HYPERLINK("https://www.youtube.com/watch?v=7iHONpg4R88")</f>
        <v>https://www.youtube.com/watch?v=7iHONpg4R88</v>
      </c>
      <c r="AO148" s="2"/>
      <c r="AP148" s="3"/>
      <c r="AQ148" s="3"/>
      <c r="AR148" s="3"/>
      <c r="AS148" s="3"/>
    </row>
    <row r="149" spans="1:45" ht="15">
      <c r="A149" s="66" t="s">
        <v>356</v>
      </c>
      <c r="B149" s="67"/>
      <c r="C149" s="67"/>
      <c r="D149" s="68"/>
      <c r="E149" s="70"/>
      <c r="F149" s="100" t="str">
        <f>HYPERLINK("https://i.ytimg.com/vi/KRzZOAu9kVs/default.jpg")</f>
        <v>https://i.ytimg.com/vi/KRzZOAu9kVs/default.jpg</v>
      </c>
      <c r="G149" s="67"/>
      <c r="H149" s="71"/>
      <c r="I149" s="72"/>
      <c r="J149" s="72"/>
      <c r="K149" s="71" t="s">
        <v>1391</v>
      </c>
      <c r="L149" s="75"/>
      <c r="M149" s="76">
        <v>9453.7783203125</v>
      </c>
      <c r="N149" s="76">
        <v>2514.360595703125</v>
      </c>
      <c r="O149" s="77"/>
      <c r="P149" s="78"/>
      <c r="Q149" s="78"/>
      <c r="R149" s="82"/>
      <c r="S149" s="82"/>
      <c r="T149" s="82"/>
      <c r="U149" s="82"/>
      <c r="V149" s="52"/>
      <c r="W149" s="52"/>
      <c r="X149" s="52"/>
      <c r="Y149" s="52"/>
      <c r="Z149" s="51"/>
      <c r="AA149" s="73">
        <v>149</v>
      </c>
      <c r="AB149" s="73"/>
      <c r="AC149" s="74"/>
      <c r="AD149" s="80" t="s">
        <v>1391</v>
      </c>
      <c r="AE149" s="80" t="s">
        <v>2414</v>
      </c>
      <c r="AF149" s="80" t="s">
        <v>3278</v>
      </c>
      <c r="AG149" s="80" t="s">
        <v>3971</v>
      </c>
      <c r="AH149" s="80" t="s">
        <v>4702</v>
      </c>
      <c r="AI149" s="80">
        <v>23</v>
      </c>
      <c r="AJ149" s="80">
        <v>0</v>
      </c>
      <c r="AK149" s="80">
        <v>0</v>
      </c>
      <c r="AL149" s="80">
        <v>0</v>
      </c>
      <c r="AM149" s="80" t="s">
        <v>5614</v>
      </c>
      <c r="AN149" s="102" t="str">
        <f>HYPERLINK("https://www.youtube.com/watch?v=KRzZOAu9kVs")</f>
        <v>https://www.youtube.com/watch?v=KRzZOAu9kVs</v>
      </c>
      <c r="AO149" s="2"/>
      <c r="AP149" s="3"/>
      <c r="AQ149" s="3"/>
      <c r="AR149" s="3"/>
      <c r="AS149" s="3"/>
    </row>
    <row r="150" spans="1:45" ht="15">
      <c r="A150" s="66" t="s">
        <v>357</v>
      </c>
      <c r="B150" s="67"/>
      <c r="C150" s="67"/>
      <c r="D150" s="68"/>
      <c r="E150" s="70"/>
      <c r="F150" s="100" t="str">
        <f>HYPERLINK("https://i.ytimg.com/vi/pTcn_XVRVIo/default.jpg")</f>
        <v>https://i.ytimg.com/vi/pTcn_XVRVIo/default.jpg</v>
      </c>
      <c r="G150" s="67"/>
      <c r="H150" s="71"/>
      <c r="I150" s="72"/>
      <c r="J150" s="72"/>
      <c r="K150" s="71" t="s">
        <v>1392</v>
      </c>
      <c r="L150" s="75"/>
      <c r="M150" s="76">
        <v>8721.287109375</v>
      </c>
      <c r="N150" s="76">
        <v>1444.0780029296875</v>
      </c>
      <c r="O150" s="77"/>
      <c r="P150" s="78"/>
      <c r="Q150" s="78"/>
      <c r="R150" s="82"/>
      <c r="S150" s="82"/>
      <c r="T150" s="82"/>
      <c r="U150" s="82"/>
      <c r="V150" s="52"/>
      <c r="W150" s="52"/>
      <c r="X150" s="52"/>
      <c r="Y150" s="52"/>
      <c r="Z150" s="51"/>
      <c r="AA150" s="73">
        <v>150</v>
      </c>
      <c r="AB150" s="73"/>
      <c r="AC150" s="74"/>
      <c r="AD150" s="80" t="s">
        <v>1392</v>
      </c>
      <c r="AE150" s="80" t="s">
        <v>2415</v>
      </c>
      <c r="AF150" s="80" t="s">
        <v>3278</v>
      </c>
      <c r="AG150" s="80" t="s">
        <v>3971</v>
      </c>
      <c r="AH150" s="80" t="s">
        <v>4703</v>
      </c>
      <c r="AI150" s="80">
        <v>30</v>
      </c>
      <c r="AJ150" s="80">
        <v>0</v>
      </c>
      <c r="AK150" s="80">
        <v>0</v>
      </c>
      <c r="AL150" s="80">
        <v>0</v>
      </c>
      <c r="AM150" s="80" t="s">
        <v>5614</v>
      </c>
      <c r="AN150" s="102" t="str">
        <f>HYPERLINK("https://www.youtube.com/watch?v=pTcn_XVRVIo")</f>
        <v>https://www.youtube.com/watch?v=pTcn_XVRVIo</v>
      </c>
      <c r="AO150" s="2"/>
      <c r="AP150" s="3"/>
      <c r="AQ150" s="3"/>
      <c r="AR150" s="3"/>
      <c r="AS150" s="3"/>
    </row>
    <row r="151" spans="1:45" ht="15">
      <c r="A151" s="66" t="s">
        <v>358</v>
      </c>
      <c r="B151" s="67"/>
      <c r="C151" s="67"/>
      <c r="D151" s="68"/>
      <c r="E151" s="70"/>
      <c r="F151" s="100" t="str">
        <f>HYPERLINK("https://i.ytimg.com/vi/MmwMrF2tiLM/default.jpg")</f>
        <v>https://i.ytimg.com/vi/MmwMrF2tiLM/default.jpg</v>
      </c>
      <c r="G151" s="67"/>
      <c r="H151" s="71"/>
      <c r="I151" s="72"/>
      <c r="J151" s="72"/>
      <c r="K151" s="71" t="s">
        <v>1393</v>
      </c>
      <c r="L151" s="75"/>
      <c r="M151" s="76">
        <v>9351.1494140625</v>
      </c>
      <c r="N151" s="76">
        <v>2182.474365234375</v>
      </c>
      <c r="O151" s="77"/>
      <c r="P151" s="78"/>
      <c r="Q151" s="78"/>
      <c r="R151" s="82"/>
      <c r="S151" s="82"/>
      <c r="T151" s="82"/>
      <c r="U151" s="82"/>
      <c r="V151" s="52"/>
      <c r="W151" s="52"/>
      <c r="X151" s="52"/>
      <c r="Y151" s="52"/>
      <c r="Z151" s="51"/>
      <c r="AA151" s="73">
        <v>151</v>
      </c>
      <c r="AB151" s="73"/>
      <c r="AC151" s="74"/>
      <c r="AD151" s="80" t="s">
        <v>1393</v>
      </c>
      <c r="AE151" s="80" t="s">
        <v>2416</v>
      </c>
      <c r="AF151" s="80" t="s">
        <v>3278</v>
      </c>
      <c r="AG151" s="80" t="s">
        <v>3971</v>
      </c>
      <c r="AH151" s="80" t="s">
        <v>4704</v>
      </c>
      <c r="AI151" s="80">
        <v>22</v>
      </c>
      <c r="AJ151" s="80">
        <v>0</v>
      </c>
      <c r="AK151" s="80">
        <v>0</v>
      </c>
      <c r="AL151" s="80">
        <v>0</v>
      </c>
      <c r="AM151" s="80" t="s">
        <v>5614</v>
      </c>
      <c r="AN151" s="102" t="str">
        <f>HYPERLINK("https://www.youtube.com/watch?v=MmwMrF2tiLM")</f>
        <v>https://www.youtube.com/watch?v=MmwMrF2tiLM</v>
      </c>
      <c r="AO151" s="2"/>
      <c r="AP151" s="3"/>
      <c r="AQ151" s="3"/>
      <c r="AR151" s="3"/>
      <c r="AS151" s="3"/>
    </row>
    <row r="152" spans="1:45" ht="15">
      <c r="A152" s="66" t="s">
        <v>359</v>
      </c>
      <c r="B152" s="67"/>
      <c r="C152" s="67"/>
      <c r="D152" s="68"/>
      <c r="E152" s="70"/>
      <c r="F152" s="100" t="str">
        <f>HYPERLINK("https://i.ytimg.com/vi/arVJAIGd5VU/default.jpg")</f>
        <v>https://i.ytimg.com/vi/arVJAIGd5VU/default.jpg</v>
      </c>
      <c r="G152" s="67"/>
      <c r="H152" s="71"/>
      <c r="I152" s="72"/>
      <c r="J152" s="72"/>
      <c r="K152" s="71" t="s">
        <v>1394</v>
      </c>
      <c r="L152" s="75"/>
      <c r="M152" s="76">
        <v>8662.083984375</v>
      </c>
      <c r="N152" s="76">
        <v>1422.911865234375</v>
      </c>
      <c r="O152" s="77"/>
      <c r="P152" s="78"/>
      <c r="Q152" s="78"/>
      <c r="R152" s="82"/>
      <c r="S152" s="82"/>
      <c r="T152" s="82"/>
      <c r="U152" s="82"/>
      <c r="V152" s="52"/>
      <c r="W152" s="52"/>
      <c r="X152" s="52"/>
      <c r="Y152" s="52"/>
      <c r="Z152" s="51"/>
      <c r="AA152" s="73">
        <v>152</v>
      </c>
      <c r="AB152" s="73"/>
      <c r="AC152" s="74"/>
      <c r="AD152" s="80" t="s">
        <v>1394</v>
      </c>
      <c r="AE152" s="80" t="s">
        <v>2417</v>
      </c>
      <c r="AF152" s="80" t="s">
        <v>3279</v>
      </c>
      <c r="AG152" s="80" t="s">
        <v>3971</v>
      </c>
      <c r="AH152" s="80" t="s">
        <v>4705</v>
      </c>
      <c r="AI152" s="80">
        <v>10</v>
      </c>
      <c r="AJ152" s="80">
        <v>0</v>
      </c>
      <c r="AK152" s="80">
        <v>0</v>
      </c>
      <c r="AL152" s="80">
        <v>0</v>
      </c>
      <c r="AM152" s="80" t="s">
        <v>5614</v>
      </c>
      <c r="AN152" s="102" t="str">
        <f>HYPERLINK("https://www.youtube.com/watch?v=arVJAIGd5VU")</f>
        <v>https://www.youtube.com/watch?v=arVJAIGd5VU</v>
      </c>
      <c r="AO152" s="2"/>
      <c r="AP152" s="3"/>
      <c r="AQ152" s="3"/>
      <c r="AR152" s="3"/>
      <c r="AS152" s="3"/>
    </row>
    <row r="153" spans="1:45" ht="15">
      <c r="A153" s="66" t="s">
        <v>360</v>
      </c>
      <c r="B153" s="67"/>
      <c r="C153" s="67"/>
      <c r="D153" s="68"/>
      <c r="E153" s="70"/>
      <c r="F153" s="100" t="str">
        <f>HYPERLINK("https://i.ytimg.com/vi/H3lWwuahjUw/default.jpg")</f>
        <v>https://i.ytimg.com/vi/H3lWwuahjUw/default.jpg</v>
      </c>
      <c r="G153" s="67"/>
      <c r="H153" s="71"/>
      <c r="I153" s="72"/>
      <c r="J153" s="72"/>
      <c r="K153" s="71" t="s">
        <v>1395</v>
      </c>
      <c r="L153" s="75"/>
      <c r="M153" s="76">
        <v>8969.4384765625</v>
      </c>
      <c r="N153" s="76">
        <v>1717.32861328125</v>
      </c>
      <c r="O153" s="77"/>
      <c r="P153" s="78"/>
      <c r="Q153" s="78"/>
      <c r="R153" s="82"/>
      <c r="S153" s="82"/>
      <c r="T153" s="82"/>
      <c r="U153" s="82"/>
      <c r="V153" s="52"/>
      <c r="W153" s="52"/>
      <c r="X153" s="52"/>
      <c r="Y153" s="52"/>
      <c r="Z153" s="51"/>
      <c r="AA153" s="73">
        <v>153</v>
      </c>
      <c r="AB153" s="73"/>
      <c r="AC153" s="74"/>
      <c r="AD153" s="80" t="s">
        <v>1395</v>
      </c>
      <c r="AE153" s="80" t="s">
        <v>2418</v>
      </c>
      <c r="AF153" s="80" t="s">
        <v>3280</v>
      </c>
      <c r="AG153" s="80" t="s">
        <v>3973</v>
      </c>
      <c r="AH153" s="80" t="s">
        <v>4706</v>
      </c>
      <c r="AI153" s="80">
        <v>77</v>
      </c>
      <c r="AJ153" s="80">
        <v>1</v>
      </c>
      <c r="AK153" s="80">
        <v>0</v>
      </c>
      <c r="AL153" s="80">
        <v>0</v>
      </c>
      <c r="AM153" s="80" t="s">
        <v>5614</v>
      </c>
      <c r="AN153" s="102" t="str">
        <f>HYPERLINK("https://www.youtube.com/watch?v=H3lWwuahjUw")</f>
        <v>https://www.youtube.com/watch?v=H3lWwuahjUw</v>
      </c>
      <c r="AO153" s="2"/>
      <c r="AP153" s="3"/>
      <c r="AQ153" s="3"/>
      <c r="AR153" s="3"/>
      <c r="AS153" s="3"/>
    </row>
    <row r="154" spans="1:45" ht="15">
      <c r="A154" s="66" t="s">
        <v>361</v>
      </c>
      <c r="B154" s="67"/>
      <c r="C154" s="67"/>
      <c r="D154" s="68"/>
      <c r="E154" s="70"/>
      <c r="F154" s="100" t="str">
        <f>HYPERLINK("https://i.ytimg.com/vi/ud23k5fri6U/default.jpg")</f>
        <v>https://i.ytimg.com/vi/ud23k5fri6U/default.jpg</v>
      </c>
      <c r="G154" s="67"/>
      <c r="H154" s="71"/>
      <c r="I154" s="72"/>
      <c r="J154" s="72"/>
      <c r="K154" s="71" t="s">
        <v>1396</v>
      </c>
      <c r="L154" s="75"/>
      <c r="M154" s="76">
        <v>8971.4423828125</v>
      </c>
      <c r="N154" s="76">
        <v>1646.676513671875</v>
      </c>
      <c r="O154" s="77"/>
      <c r="P154" s="78"/>
      <c r="Q154" s="78"/>
      <c r="R154" s="82"/>
      <c r="S154" s="82"/>
      <c r="T154" s="82"/>
      <c r="U154" s="82"/>
      <c r="V154" s="52"/>
      <c r="W154" s="52"/>
      <c r="X154" s="52"/>
      <c r="Y154" s="52"/>
      <c r="Z154" s="51"/>
      <c r="AA154" s="73">
        <v>154</v>
      </c>
      <c r="AB154" s="73"/>
      <c r="AC154" s="74"/>
      <c r="AD154" s="80" t="s">
        <v>1396</v>
      </c>
      <c r="AE154" s="80" t="s">
        <v>2419</v>
      </c>
      <c r="AF154" s="80" t="s">
        <v>3278</v>
      </c>
      <c r="AG154" s="80" t="s">
        <v>3971</v>
      </c>
      <c r="AH154" s="80" t="s">
        <v>4707</v>
      </c>
      <c r="AI154" s="80">
        <v>14</v>
      </c>
      <c r="AJ154" s="80">
        <v>0</v>
      </c>
      <c r="AK154" s="80">
        <v>1</v>
      </c>
      <c r="AL154" s="80">
        <v>0</v>
      </c>
      <c r="AM154" s="80" t="s">
        <v>5614</v>
      </c>
      <c r="AN154" s="102" t="str">
        <f>HYPERLINK("https://www.youtube.com/watch?v=ud23k5fri6U")</f>
        <v>https://www.youtube.com/watch?v=ud23k5fri6U</v>
      </c>
      <c r="AO154" s="2"/>
      <c r="AP154" s="3"/>
      <c r="AQ154" s="3"/>
      <c r="AR154" s="3"/>
      <c r="AS154" s="3"/>
    </row>
    <row r="155" spans="1:45" ht="15">
      <c r="A155" s="66" t="s">
        <v>362</v>
      </c>
      <c r="B155" s="67"/>
      <c r="C155" s="67"/>
      <c r="D155" s="68"/>
      <c r="E155" s="70"/>
      <c r="F155" s="100" t="str">
        <f>HYPERLINK("https://i.ytimg.com/vi/XeuixxoNaKs/default.jpg")</f>
        <v>https://i.ytimg.com/vi/XeuixxoNaKs/default.jpg</v>
      </c>
      <c r="G155" s="67"/>
      <c r="H155" s="71"/>
      <c r="I155" s="72"/>
      <c r="J155" s="72"/>
      <c r="K155" s="71" t="s">
        <v>1397</v>
      </c>
      <c r="L155" s="75"/>
      <c r="M155" s="76">
        <v>9172.009765625</v>
      </c>
      <c r="N155" s="76">
        <v>1908.5115966796875</v>
      </c>
      <c r="O155" s="77"/>
      <c r="P155" s="78"/>
      <c r="Q155" s="78"/>
      <c r="R155" s="82"/>
      <c r="S155" s="82"/>
      <c r="T155" s="82"/>
      <c r="U155" s="82"/>
      <c r="V155" s="52"/>
      <c r="W155" s="52"/>
      <c r="X155" s="52"/>
      <c r="Y155" s="52"/>
      <c r="Z155" s="51"/>
      <c r="AA155" s="73">
        <v>155</v>
      </c>
      <c r="AB155" s="73"/>
      <c r="AC155" s="74"/>
      <c r="AD155" s="80" t="s">
        <v>1397</v>
      </c>
      <c r="AE155" s="80"/>
      <c r="AF155" s="80"/>
      <c r="AG155" s="80" t="s">
        <v>3974</v>
      </c>
      <c r="AH155" s="80" t="s">
        <v>4708</v>
      </c>
      <c r="AI155" s="80">
        <v>4781</v>
      </c>
      <c r="AJ155" s="80">
        <v>11</v>
      </c>
      <c r="AK155" s="80">
        <v>64</v>
      </c>
      <c r="AL155" s="80">
        <v>10</v>
      </c>
      <c r="AM155" s="80" t="s">
        <v>5614</v>
      </c>
      <c r="AN155" s="102" t="str">
        <f>HYPERLINK("https://www.youtube.com/watch?v=XeuixxoNaKs")</f>
        <v>https://www.youtube.com/watch?v=XeuixxoNaKs</v>
      </c>
      <c r="AO155" s="2"/>
      <c r="AP155" s="3"/>
      <c r="AQ155" s="3"/>
      <c r="AR155" s="3"/>
      <c r="AS155" s="3"/>
    </row>
    <row r="156" spans="1:45" ht="15">
      <c r="A156" s="66" t="s">
        <v>363</v>
      </c>
      <c r="B156" s="67"/>
      <c r="C156" s="67"/>
      <c r="D156" s="68"/>
      <c r="E156" s="70"/>
      <c r="F156" s="100" t="str">
        <f>HYPERLINK("https://i.ytimg.com/vi/cGHb40jjAwQ/default.jpg")</f>
        <v>https://i.ytimg.com/vi/cGHb40jjAwQ/default.jpg</v>
      </c>
      <c r="G156" s="67"/>
      <c r="H156" s="71"/>
      <c r="I156" s="72"/>
      <c r="J156" s="72"/>
      <c r="K156" s="71" t="s">
        <v>1398</v>
      </c>
      <c r="L156" s="75"/>
      <c r="M156" s="76">
        <v>9365.2421875</v>
      </c>
      <c r="N156" s="76">
        <v>2153.76708984375</v>
      </c>
      <c r="O156" s="77"/>
      <c r="P156" s="78"/>
      <c r="Q156" s="78"/>
      <c r="R156" s="82"/>
      <c r="S156" s="82"/>
      <c r="T156" s="82"/>
      <c r="U156" s="82"/>
      <c r="V156" s="52"/>
      <c r="W156" s="52"/>
      <c r="X156" s="52"/>
      <c r="Y156" s="52"/>
      <c r="Z156" s="51"/>
      <c r="AA156" s="73">
        <v>156</v>
      </c>
      <c r="AB156" s="73"/>
      <c r="AC156" s="74"/>
      <c r="AD156" s="80" t="s">
        <v>1398</v>
      </c>
      <c r="AE156" s="80" t="s">
        <v>2420</v>
      </c>
      <c r="AF156" s="80" t="s">
        <v>3281</v>
      </c>
      <c r="AG156" s="80" t="s">
        <v>3975</v>
      </c>
      <c r="AH156" s="80" t="s">
        <v>4709</v>
      </c>
      <c r="AI156" s="80">
        <v>1567261</v>
      </c>
      <c r="AJ156" s="80">
        <v>0</v>
      </c>
      <c r="AK156" s="80">
        <v>39544</v>
      </c>
      <c r="AL156" s="80">
        <v>1693</v>
      </c>
      <c r="AM156" s="80" t="s">
        <v>5614</v>
      </c>
      <c r="AN156" s="102" t="str">
        <f>HYPERLINK("https://www.youtube.com/watch?v=cGHb40jjAwQ")</f>
        <v>https://www.youtube.com/watch?v=cGHb40jjAwQ</v>
      </c>
      <c r="AO156" s="2"/>
      <c r="AP156" s="3"/>
      <c r="AQ156" s="3"/>
      <c r="AR156" s="3"/>
      <c r="AS156" s="3"/>
    </row>
    <row r="157" spans="1:45" ht="15">
      <c r="A157" s="66" t="s">
        <v>364</v>
      </c>
      <c r="B157" s="67"/>
      <c r="C157" s="67"/>
      <c r="D157" s="68"/>
      <c r="E157" s="70"/>
      <c r="F157" s="100" t="str">
        <f>HYPERLINK("https://i.ytimg.com/vi/876VQtyRnb8/default.jpg")</f>
        <v>https://i.ytimg.com/vi/876VQtyRnb8/default.jpg</v>
      </c>
      <c r="G157" s="67"/>
      <c r="H157" s="71"/>
      <c r="I157" s="72"/>
      <c r="J157" s="72"/>
      <c r="K157" s="71" t="s">
        <v>1399</v>
      </c>
      <c r="L157" s="75"/>
      <c r="M157" s="76">
        <v>9087.669921875</v>
      </c>
      <c r="N157" s="76">
        <v>1931.2279052734375</v>
      </c>
      <c r="O157" s="77"/>
      <c r="P157" s="78"/>
      <c r="Q157" s="78"/>
      <c r="R157" s="82"/>
      <c r="S157" s="82"/>
      <c r="T157" s="82"/>
      <c r="U157" s="82"/>
      <c r="V157" s="52"/>
      <c r="W157" s="52"/>
      <c r="X157" s="52"/>
      <c r="Y157" s="52"/>
      <c r="Z157" s="51"/>
      <c r="AA157" s="73">
        <v>157</v>
      </c>
      <c r="AB157" s="73"/>
      <c r="AC157" s="74"/>
      <c r="AD157" s="80" t="s">
        <v>1399</v>
      </c>
      <c r="AE157" s="80" t="s">
        <v>2421</v>
      </c>
      <c r="AF157" s="80" t="s">
        <v>3278</v>
      </c>
      <c r="AG157" s="80" t="s">
        <v>3971</v>
      </c>
      <c r="AH157" s="80" t="s">
        <v>4710</v>
      </c>
      <c r="AI157" s="80">
        <v>11</v>
      </c>
      <c r="AJ157" s="80">
        <v>0</v>
      </c>
      <c r="AK157" s="80">
        <v>1</v>
      </c>
      <c r="AL157" s="80">
        <v>0</v>
      </c>
      <c r="AM157" s="80" t="s">
        <v>5614</v>
      </c>
      <c r="AN157" s="102" t="str">
        <f>HYPERLINK("https://www.youtube.com/watch?v=876VQtyRnb8")</f>
        <v>https://www.youtube.com/watch?v=876VQtyRnb8</v>
      </c>
      <c r="AO157" s="2"/>
      <c r="AP157" s="3"/>
      <c r="AQ157" s="3"/>
      <c r="AR157" s="3"/>
      <c r="AS157" s="3"/>
    </row>
    <row r="158" spans="1:45" ht="15">
      <c r="A158" s="66" t="s">
        <v>365</v>
      </c>
      <c r="B158" s="67"/>
      <c r="C158" s="67"/>
      <c r="D158" s="68"/>
      <c r="E158" s="70"/>
      <c r="F158" s="100" t="str">
        <f>HYPERLINK("https://i.ytimg.com/vi/UzIybb6Rz8U/default.jpg")</f>
        <v>https://i.ytimg.com/vi/UzIybb6Rz8U/default.jpg</v>
      </c>
      <c r="G158" s="67"/>
      <c r="H158" s="71"/>
      <c r="I158" s="72"/>
      <c r="J158" s="72"/>
      <c r="K158" s="71" t="s">
        <v>1400</v>
      </c>
      <c r="L158" s="75"/>
      <c r="M158" s="76">
        <v>9483.103515625</v>
      </c>
      <c r="N158" s="76">
        <v>2564.129638671875</v>
      </c>
      <c r="O158" s="77"/>
      <c r="P158" s="78"/>
      <c r="Q158" s="78"/>
      <c r="R158" s="82"/>
      <c r="S158" s="82"/>
      <c r="T158" s="82"/>
      <c r="U158" s="82"/>
      <c r="V158" s="52"/>
      <c r="W158" s="52"/>
      <c r="X158" s="52"/>
      <c r="Y158" s="52"/>
      <c r="Z158" s="51"/>
      <c r="AA158" s="73">
        <v>158</v>
      </c>
      <c r="AB158" s="73"/>
      <c r="AC158" s="74"/>
      <c r="AD158" s="80" t="s">
        <v>1400</v>
      </c>
      <c r="AE158" s="80" t="s">
        <v>2422</v>
      </c>
      <c r="AF158" s="80" t="s">
        <v>3282</v>
      </c>
      <c r="AG158" s="80" t="s">
        <v>3971</v>
      </c>
      <c r="AH158" s="80" t="s">
        <v>4711</v>
      </c>
      <c r="AI158" s="80">
        <v>142</v>
      </c>
      <c r="AJ158" s="80">
        <v>2</v>
      </c>
      <c r="AK158" s="80">
        <v>26</v>
      </c>
      <c r="AL158" s="80">
        <v>0</v>
      </c>
      <c r="AM158" s="80" t="s">
        <v>5614</v>
      </c>
      <c r="AN158" s="102" t="str">
        <f>HYPERLINK("https://www.youtube.com/watch?v=UzIybb6Rz8U")</f>
        <v>https://www.youtube.com/watch?v=UzIybb6Rz8U</v>
      </c>
      <c r="AO158" s="2"/>
      <c r="AP158" s="3"/>
      <c r="AQ158" s="3"/>
      <c r="AR158" s="3"/>
      <c r="AS158" s="3"/>
    </row>
    <row r="159" spans="1:45" ht="15">
      <c r="A159" s="66" t="s">
        <v>366</v>
      </c>
      <c r="B159" s="67"/>
      <c r="C159" s="67"/>
      <c r="D159" s="68"/>
      <c r="E159" s="70"/>
      <c r="F159" s="100" t="str">
        <f>HYPERLINK("https://i.ytimg.com/vi/9XRDw4E1l-E/default.jpg")</f>
        <v>https://i.ytimg.com/vi/9XRDw4E1l-E/default.jpg</v>
      </c>
      <c r="G159" s="67"/>
      <c r="H159" s="71"/>
      <c r="I159" s="72"/>
      <c r="J159" s="72"/>
      <c r="K159" s="71" t="s">
        <v>1401</v>
      </c>
      <c r="L159" s="75"/>
      <c r="M159" s="76">
        <v>9081.2001953125</v>
      </c>
      <c r="N159" s="76">
        <v>1829.65185546875</v>
      </c>
      <c r="O159" s="77"/>
      <c r="P159" s="78"/>
      <c r="Q159" s="78"/>
      <c r="R159" s="82"/>
      <c r="S159" s="82"/>
      <c r="T159" s="82"/>
      <c r="U159" s="82"/>
      <c r="V159" s="52"/>
      <c r="W159" s="52"/>
      <c r="X159" s="52"/>
      <c r="Y159" s="52"/>
      <c r="Z159" s="51"/>
      <c r="AA159" s="73">
        <v>159</v>
      </c>
      <c r="AB159" s="73"/>
      <c r="AC159" s="74"/>
      <c r="AD159" s="80" t="s">
        <v>1401</v>
      </c>
      <c r="AE159" s="80" t="s">
        <v>2423</v>
      </c>
      <c r="AF159" s="80" t="s">
        <v>3278</v>
      </c>
      <c r="AG159" s="80" t="s">
        <v>3971</v>
      </c>
      <c r="AH159" s="80" t="s">
        <v>4712</v>
      </c>
      <c r="AI159" s="80">
        <v>38</v>
      </c>
      <c r="AJ159" s="80">
        <v>0</v>
      </c>
      <c r="AK159" s="80">
        <v>2</v>
      </c>
      <c r="AL159" s="80">
        <v>0</v>
      </c>
      <c r="AM159" s="80" t="s">
        <v>5614</v>
      </c>
      <c r="AN159" s="102" t="str">
        <f>HYPERLINK("https://www.youtube.com/watch?v=9XRDw4E1l-E")</f>
        <v>https://www.youtube.com/watch?v=9XRDw4E1l-E</v>
      </c>
      <c r="AO159" s="2"/>
      <c r="AP159" s="3"/>
      <c r="AQ159" s="3"/>
      <c r="AR159" s="3"/>
      <c r="AS159" s="3"/>
    </row>
    <row r="160" spans="1:45" ht="15">
      <c r="A160" s="66" t="s">
        <v>367</v>
      </c>
      <c r="B160" s="67"/>
      <c r="C160" s="67"/>
      <c r="D160" s="68"/>
      <c r="E160" s="70"/>
      <c r="F160" s="100" t="str">
        <f>HYPERLINK("https://i.ytimg.com/vi/9O03tQFcxI8/default.jpg")</f>
        <v>https://i.ytimg.com/vi/9O03tQFcxI8/default.jpg</v>
      </c>
      <c r="G160" s="67"/>
      <c r="H160" s="71"/>
      <c r="I160" s="72"/>
      <c r="J160" s="72"/>
      <c r="K160" s="71" t="s">
        <v>1402</v>
      </c>
      <c r="L160" s="75"/>
      <c r="M160" s="76">
        <v>8781.3720703125</v>
      </c>
      <c r="N160" s="76">
        <v>1557.1986083984375</v>
      </c>
      <c r="O160" s="77"/>
      <c r="P160" s="78"/>
      <c r="Q160" s="78"/>
      <c r="R160" s="82"/>
      <c r="S160" s="82"/>
      <c r="T160" s="82"/>
      <c r="U160" s="82"/>
      <c r="V160" s="52"/>
      <c r="W160" s="52"/>
      <c r="X160" s="52"/>
      <c r="Y160" s="52"/>
      <c r="Z160" s="51"/>
      <c r="AA160" s="73">
        <v>160</v>
      </c>
      <c r="AB160" s="73"/>
      <c r="AC160" s="74"/>
      <c r="AD160" s="80" t="s">
        <v>1402</v>
      </c>
      <c r="AE160" s="80" t="s">
        <v>2424</v>
      </c>
      <c r="AF160" s="80" t="s">
        <v>3283</v>
      </c>
      <c r="AG160" s="80" t="s">
        <v>3976</v>
      </c>
      <c r="AH160" s="80" t="s">
        <v>4713</v>
      </c>
      <c r="AI160" s="80">
        <v>280680</v>
      </c>
      <c r="AJ160" s="80">
        <v>326</v>
      </c>
      <c r="AK160" s="80">
        <v>10473</v>
      </c>
      <c r="AL160" s="80">
        <v>349</v>
      </c>
      <c r="AM160" s="80" t="s">
        <v>5614</v>
      </c>
      <c r="AN160" s="102" t="str">
        <f>HYPERLINK("https://www.youtube.com/watch?v=9O03tQFcxI8")</f>
        <v>https://www.youtube.com/watch?v=9O03tQFcxI8</v>
      </c>
      <c r="AO160" s="2"/>
      <c r="AP160" s="3"/>
      <c r="AQ160" s="3"/>
      <c r="AR160" s="3"/>
      <c r="AS160" s="3"/>
    </row>
    <row r="161" spans="1:45" ht="15">
      <c r="A161" s="66" t="s">
        <v>368</v>
      </c>
      <c r="B161" s="67"/>
      <c r="C161" s="67"/>
      <c r="D161" s="68"/>
      <c r="E161" s="70"/>
      <c r="F161" s="100" t="str">
        <f>HYPERLINK("https://i.ytimg.com/vi/tHCQf2FeHeQ/default.jpg")</f>
        <v>https://i.ytimg.com/vi/tHCQf2FeHeQ/default.jpg</v>
      </c>
      <c r="G161" s="67"/>
      <c r="H161" s="71"/>
      <c r="I161" s="72"/>
      <c r="J161" s="72"/>
      <c r="K161" s="71" t="s">
        <v>1403</v>
      </c>
      <c r="L161" s="75"/>
      <c r="M161" s="76">
        <v>9367.26953125</v>
      </c>
      <c r="N161" s="76">
        <v>2377.231689453125</v>
      </c>
      <c r="O161" s="77"/>
      <c r="P161" s="78"/>
      <c r="Q161" s="78"/>
      <c r="R161" s="82"/>
      <c r="S161" s="82"/>
      <c r="T161" s="82"/>
      <c r="U161" s="82"/>
      <c r="V161" s="52"/>
      <c r="W161" s="52"/>
      <c r="X161" s="52"/>
      <c r="Y161" s="52"/>
      <c r="Z161" s="51"/>
      <c r="AA161" s="73">
        <v>161</v>
      </c>
      <c r="AB161" s="73"/>
      <c r="AC161" s="74"/>
      <c r="AD161" s="80" t="s">
        <v>1403</v>
      </c>
      <c r="AE161" s="80" t="s">
        <v>2425</v>
      </c>
      <c r="AF161" s="80" t="s">
        <v>3278</v>
      </c>
      <c r="AG161" s="80" t="s">
        <v>3971</v>
      </c>
      <c r="AH161" s="80" t="s">
        <v>4714</v>
      </c>
      <c r="AI161" s="80">
        <v>29</v>
      </c>
      <c r="AJ161" s="80">
        <v>0</v>
      </c>
      <c r="AK161" s="80">
        <v>7</v>
      </c>
      <c r="AL161" s="80">
        <v>0</v>
      </c>
      <c r="AM161" s="80" t="s">
        <v>5614</v>
      </c>
      <c r="AN161" s="102" t="str">
        <f>HYPERLINK("https://www.youtube.com/watch?v=tHCQf2FeHeQ")</f>
        <v>https://www.youtube.com/watch?v=tHCQf2FeHeQ</v>
      </c>
      <c r="AO161" s="2"/>
      <c r="AP161" s="3"/>
      <c r="AQ161" s="3"/>
      <c r="AR161" s="3"/>
      <c r="AS161" s="3"/>
    </row>
    <row r="162" spans="1:45" ht="15">
      <c r="A162" s="66" t="s">
        <v>369</v>
      </c>
      <c r="B162" s="67"/>
      <c r="C162" s="67"/>
      <c r="D162" s="68"/>
      <c r="E162" s="70"/>
      <c r="F162" s="100" t="str">
        <f>HYPERLINK("https://i.ytimg.com/vi/od04ajy0nQc/default.jpg")</f>
        <v>https://i.ytimg.com/vi/od04ajy0nQc/default.jpg</v>
      </c>
      <c r="G162" s="67"/>
      <c r="H162" s="71"/>
      <c r="I162" s="72"/>
      <c r="J162" s="72"/>
      <c r="K162" s="71" t="s">
        <v>1404</v>
      </c>
      <c r="L162" s="75"/>
      <c r="M162" s="76">
        <v>9219.7412109375</v>
      </c>
      <c r="N162" s="76">
        <v>1978.1126708984375</v>
      </c>
      <c r="O162" s="77"/>
      <c r="P162" s="78"/>
      <c r="Q162" s="78"/>
      <c r="R162" s="82"/>
      <c r="S162" s="82"/>
      <c r="T162" s="82"/>
      <c r="U162" s="82"/>
      <c r="V162" s="52"/>
      <c r="W162" s="52"/>
      <c r="X162" s="52"/>
      <c r="Y162" s="52"/>
      <c r="Z162" s="51"/>
      <c r="AA162" s="73">
        <v>162</v>
      </c>
      <c r="AB162" s="73"/>
      <c r="AC162" s="74"/>
      <c r="AD162" s="80" t="s">
        <v>1404</v>
      </c>
      <c r="AE162" s="80" t="s">
        <v>2426</v>
      </c>
      <c r="AF162" s="80" t="s">
        <v>3284</v>
      </c>
      <c r="AG162" s="80" t="s">
        <v>3977</v>
      </c>
      <c r="AH162" s="80" t="s">
        <v>4715</v>
      </c>
      <c r="AI162" s="80">
        <v>62266</v>
      </c>
      <c r="AJ162" s="80">
        <v>58</v>
      </c>
      <c r="AK162" s="80">
        <v>1194</v>
      </c>
      <c r="AL162" s="80">
        <v>33</v>
      </c>
      <c r="AM162" s="80" t="s">
        <v>5614</v>
      </c>
      <c r="AN162" s="102" t="str">
        <f>HYPERLINK("https://www.youtube.com/watch?v=od04ajy0nQc")</f>
        <v>https://www.youtube.com/watch?v=od04ajy0nQc</v>
      </c>
      <c r="AO162" s="2"/>
      <c r="AP162" s="3"/>
      <c r="AQ162" s="3"/>
      <c r="AR162" s="3"/>
      <c r="AS162" s="3"/>
    </row>
    <row r="163" spans="1:45" ht="15">
      <c r="A163" s="66" t="s">
        <v>370</v>
      </c>
      <c r="B163" s="67"/>
      <c r="C163" s="67"/>
      <c r="D163" s="68"/>
      <c r="E163" s="70"/>
      <c r="F163" s="100" t="str">
        <f>HYPERLINK("https://i.ytimg.com/vi/c4usQN2gmiY/default.jpg")</f>
        <v>https://i.ytimg.com/vi/c4usQN2gmiY/default.jpg</v>
      </c>
      <c r="G163" s="67"/>
      <c r="H163" s="71"/>
      <c r="I163" s="72"/>
      <c r="J163" s="72"/>
      <c r="K163" s="71" t="s">
        <v>1405</v>
      </c>
      <c r="L163" s="75"/>
      <c r="M163" s="76">
        <v>3908.5048828125</v>
      </c>
      <c r="N163" s="76">
        <v>4991.1748046875</v>
      </c>
      <c r="O163" s="77"/>
      <c r="P163" s="78"/>
      <c r="Q163" s="78"/>
      <c r="R163" s="82"/>
      <c r="S163" s="82"/>
      <c r="T163" s="82"/>
      <c r="U163" s="82"/>
      <c r="V163" s="52"/>
      <c r="W163" s="52"/>
      <c r="X163" s="52"/>
      <c r="Y163" s="52"/>
      <c r="Z163" s="51"/>
      <c r="AA163" s="73">
        <v>163</v>
      </c>
      <c r="AB163" s="73"/>
      <c r="AC163" s="74"/>
      <c r="AD163" s="80" t="s">
        <v>1405</v>
      </c>
      <c r="AE163" s="80" t="s">
        <v>2427</v>
      </c>
      <c r="AF163" s="80" t="s">
        <v>3278</v>
      </c>
      <c r="AG163" s="80" t="s">
        <v>3971</v>
      </c>
      <c r="AH163" s="80" t="s">
        <v>4716</v>
      </c>
      <c r="AI163" s="80">
        <v>38</v>
      </c>
      <c r="AJ163" s="80">
        <v>0</v>
      </c>
      <c r="AK163" s="80">
        <v>5</v>
      </c>
      <c r="AL163" s="80">
        <v>0</v>
      </c>
      <c r="AM163" s="80" t="s">
        <v>5614</v>
      </c>
      <c r="AN163" s="102" t="str">
        <f>HYPERLINK("https://www.youtube.com/watch?v=c4usQN2gmiY")</f>
        <v>https://www.youtube.com/watch?v=c4usQN2gmiY</v>
      </c>
      <c r="AO163" s="2"/>
      <c r="AP163" s="3"/>
      <c r="AQ163" s="3"/>
      <c r="AR163" s="3"/>
      <c r="AS163" s="3"/>
    </row>
    <row r="164" spans="1:45" ht="15">
      <c r="A164" s="66" t="s">
        <v>371</v>
      </c>
      <c r="B164" s="67"/>
      <c r="C164" s="67"/>
      <c r="D164" s="68"/>
      <c r="E164" s="70"/>
      <c r="F164" s="100" t="str">
        <f>HYPERLINK("https://i.ytimg.com/vi/BgHrmfBzvgs/default.jpg")</f>
        <v>https://i.ytimg.com/vi/BgHrmfBzvgs/default.jpg</v>
      </c>
      <c r="G164" s="67"/>
      <c r="H164" s="71"/>
      <c r="I164" s="72"/>
      <c r="J164" s="72"/>
      <c r="K164" s="71" t="s">
        <v>1406</v>
      </c>
      <c r="L164" s="75"/>
      <c r="M164" s="76">
        <v>9066.1865234375</v>
      </c>
      <c r="N164" s="76">
        <v>1772.124267578125</v>
      </c>
      <c r="O164" s="77"/>
      <c r="P164" s="78"/>
      <c r="Q164" s="78"/>
      <c r="R164" s="82"/>
      <c r="S164" s="82"/>
      <c r="T164" s="82"/>
      <c r="U164" s="82"/>
      <c r="V164" s="52"/>
      <c r="W164" s="52"/>
      <c r="X164" s="52"/>
      <c r="Y164" s="52"/>
      <c r="Z164" s="51"/>
      <c r="AA164" s="73">
        <v>164</v>
      </c>
      <c r="AB164" s="73"/>
      <c r="AC164" s="74"/>
      <c r="AD164" s="80" t="s">
        <v>1406</v>
      </c>
      <c r="AE164" s="80" t="s">
        <v>2428</v>
      </c>
      <c r="AF164" s="80" t="s">
        <v>3285</v>
      </c>
      <c r="AG164" s="80" t="s">
        <v>3971</v>
      </c>
      <c r="AH164" s="80" t="s">
        <v>4717</v>
      </c>
      <c r="AI164" s="80">
        <v>33</v>
      </c>
      <c r="AJ164" s="80">
        <v>0</v>
      </c>
      <c r="AK164" s="80">
        <v>2</v>
      </c>
      <c r="AL164" s="80">
        <v>0</v>
      </c>
      <c r="AM164" s="80" t="s">
        <v>5614</v>
      </c>
      <c r="AN164" s="102" t="str">
        <f>HYPERLINK("https://www.youtube.com/watch?v=BgHrmfBzvgs")</f>
        <v>https://www.youtube.com/watch?v=BgHrmfBzvgs</v>
      </c>
      <c r="AO164" s="2"/>
      <c r="AP164" s="3"/>
      <c r="AQ164" s="3"/>
      <c r="AR164" s="3"/>
      <c r="AS164" s="3"/>
    </row>
    <row r="165" spans="1:45" ht="15">
      <c r="A165" s="66" t="s">
        <v>372</v>
      </c>
      <c r="B165" s="67"/>
      <c r="C165" s="67"/>
      <c r="D165" s="68"/>
      <c r="E165" s="70"/>
      <c r="F165" s="100" t="str">
        <f>HYPERLINK("https://i.ytimg.com/vi/zZ0s-hAcXO8/default.jpg")</f>
        <v>https://i.ytimg.com/vi/zZ0s-hAcXO8/default.jpg</v>
      </c>
      <c r="G165" s="67"/>
      <c r="H165" s="71"/>
      <c r="I165" s="72"/>
      <c r="J165" s="72"/>
      <c r="K165" s="71" t="s">
        <v>1407</v>
      </c>
      <c r="L165" s="75"/>
      <c r="M165" s="76">
        <v>8847.4755859375</v>
      </c>
      <c r="N165" s="76">
        <v>1645.29150390625</v>
      </c>
      <c r="O165" s="77"/>
      <c r="P165" s="78"/>
      <c r="Q165" s="78"/>
      <c r="R165" s="82"/>
      <c r="S165" s="82"/>
      <c r="T165" s="82"/>
      <c r="U165" s="82"/>
      <c r="V165" s="52"/>
      <c r="W165" s="52"/>
      <c r="X165" s="52"/>
      <c r="Y165" s="52"/>
      <c r="Z165" s="51"/>
      <c r="AA165" s="73">
        <v>165</v>
      </c>
      <c r="AB165" s="73"/>
      <c r="AC165" s="74"/>
      <c r="AD165" s="80" t="s">
        <v>1407</v>
      </c>
      <c r="AE165" s="80" t="s">
        <v>2429</v>
      </c>
      <c r="AF165" s="80" t="s">
        <v>3278</v>
      </c>
      <c r="AG165" s="80" t="s">
        <v>3971</v>
      </c>
      <c r="AH165" s="80" t="s">
        <v>4718</v>
      </c>
      <c r="AI165" s="80">
        <v>59</v>
      </c>
      <c r="AJ165" s="80">
        <v>0</v>
      </c>
      <c r="AK165" s="80">
        <v>4</v>
      </c>
      <c r="AL165" s="80">
        <v>0</v>
      </c>
      <c r="AM165" s="80" t="s">
        <v>5614</v>
      </c>
      <c r="AN165" s="102" t="str">
        <f>HYPERLINK("https://www.youtube.com/watch?v=zZ0s-hAcXO8")</f>
        <v>https://www.youtube.com/watch?v=zZ0s-hAcXO8</v>
      </c>
      <c r="AO165" s="2"/>
      <c r="AP165" s="3"/>
      <c r="AQ165" s="3"/>
      <c r="AR165" s="3"/>
      <c r="AS165" s="3"/>
    </row>
    <row r="166" spans="1:45" ht="15">
      <c r="A166" s="66" t="s">
        <v>373</v>
      </c>
      <c r="B166" s="67"/>
      <c r="C166" s="67"/>
      <c r="D166" s="68"/>
      <c r="E166" s="70"/>
      <c r="F166" s="100" t="str">
        <f>HYPERLINK("https://i.ytimg.com/vi/v3q3I-Q87JM/default.jpg")</f>
        <v>https://i.ytimg.com/vi/v3q3I-Q87JM/default.jpg</v>
      </c>
      <c r="G166" s="67"/>
      <c r="H166" s="71"/>
      <c r="I166" s="72"/>
      <c r="J166" s="72"/>
      <c r="K166" s="71" t="s">
        <v>1408</v>
      </c>
      <c r="L166" s="75"/>
      <c r="M166" s="76">
        <v>9420.87109375</v>
      </c>
      <c r="N166" s="76">
        <v>2352.325927734375</v>
      </c>
      <c r="O166" s="77"/>
      <c r="P166" s="78"/>
      <c r="Q166" s="78"/>
      <c r="R166" s="82"/>
      <c r="S166" s="82"/>
      <c r="T166" s="82"/>
      <c r="U166" s="82"/>
      <c r="V166" s="52"/>
      <c r="W166" s="52"/>
      <c r="X166" s="52"/>
      <c r="Y166" s="52"/>
      <c r="Z166" s="51"/>
      <c r="AA166" s="73">
        <v>166</v>
      </c>
      <c r="AB166" s="73"/>
      <c r="AC166" s="74"/>
      <c r="AD166" s="80" t="s">
        <v>1408</v>
      </c>
      <c r="AE166" s="80" t="s">
        <v>2430</v>
      </c>
      <c r="AF166" s="80" t="s">
        <v>3286</v>
      </c>
      <c r="AG166" s="80" t="s">
        <v>3978</v>
      </c>
      <c r="AH166" s="80" t="s">
        <v>4719</v>
      </c>
      <c r="AI166" s="80">
        <v>296036</v>
      </c>
      <c r="AJ166" s="80">
        <v>355</v>
      </c>
      <c r="AK166" s="80">
        <v>12064</v>
      </c>
      <c r="AL166" s="80">
        <v>387</v>
      </c>
      <c r="AM166" s="80" t="s">
        <v>5614</v>
      </c>
      <c r="AN166" s="102" t="str">
        <f>HYPERLINK("https://www.youtube.com/watch?v=v3q3I-Q87JM")</f>
        <v>https://www.youtube.com/watch?v=v3q3I-Q87JM</v>
      </c>
      <c r="AO166" s="2"/>
      <c r="AP166" s="3"/>
      <c r="AQ166" s="3"/>
      <c r="AR166" s="3"/>
      <c r="AS166" s="3"/>
    </row>
    <row r="167" spans="1:45" ht="15">
      <c r="A167" s="66" t="s">
        <v>374</v>
      </c>
      <c r="B167" s="67"/>
      <c r="C167" s="67"/>
      <c r="D167" s="68"/>
      <c r="E167" s="70"/>
      <c r="F167" s="100" t="str">
        <f>HYPERLINK("https://i.ytimg.com/vi/WgC4kHH3CFc/default.jpg")</f>
        <v>https://i.ytimg.com/vi/WgC4kHH3CFc/default.jpg</v>
      </c>
      <c r="G167" s="67"/>
      <c r="H167" s="71"/>
      <c r="I167" s="72"/>
      <c r="J167" s="72"/>
      <c r="K167" s="71" t="s">
        <v>1409</v>
      </c>
      <c r="L167" s="75"/>
      <c r="M167" s="76">
        <v>9048.7822265625</v>
      </c>
      <c r="N167" s="76">
        <v>1795.20263671875</v>
      </c>
      <c r="O167" s="77"/>
      <c r="P167" s="78"/>
      <c r="Q167" s="78"/>
      <c r="R167" s="82"/>
      <c r="S167" s="82"/>
      <c r="T167" s="82"/>
      <c r="U167" s="82"/>
      <c r="V167" s="52"/>
      <c r="W167" s="52"/>
      <c r="X167" s="52"/>
      <c r="Y167" s="52"/>
      <c r="Z167" s="51"/>
      <c r="AA167" s="73">
        <v>167</v>
      </c>
      <c r="AB167" s="73"/>
      <c r="AC167" s="74"/>
      <c r="AD167" s="80" t="s">
        <v>1409</v>
      </c>
      <c r="AE167" s="80" t="s">
        <v>2431</v>
      </c>
      <c r="AF167" s="80" t="s">
        <v>3287</v>
      </c>
      <c r="AG167" s="80" t="s">
        <v>3979</v>
      </c>
      <c r="AH167" s="80" t="s">
        <v>4720</v>
      </c>
      <c r="AI167" s="80">
        <v>3495</v>
      </c>
      <c r="AJ167" s="80">
        <v>4</v>
      </c>
      <c r="AK167" s="80">
        <v>165</v>
      </c>
      <c r="AL167" s="80">
        <v>2</v>
      </c>
      <c r="AM167" s="80" t="s">
        <v>5614</v>
      </c>
      <c r="AN167" s="102" t="str">
        <f>HYPERLINK("https://www.youtube.com/watch?v=WgC4kHH3CFc")</f>
        <v>https://www.youtube.com/watch?v=WgC4kHH3CFc</v>
      </c>
      <c r="AO167" s="2"/>
      <c r="AP167" s="3"/>
      <c r="AQ167" s="3"/>
      <c r="AR167" s="3"/>
      <c r="AS167" s="3"/>
    </row>
    <row r="168" spans="1:45" ht="15">
      <c r="A168" s="66" t="s">
        <v>375</v>
      </c>
      <c r="B168" s="67"/>
      <c r="C168" s="67"/>
      <c r="D168" s="68"/>
      <c r="E168" s="70"/>
      <c r="F168" s="100" t="str">
        <f>HYPERLINK("https://i.ytimg.com/vi/MpIYlplJY4I/default.jpg")</f>
        <v>https://i.ytimg.com/vi/MpIYlplJY4I/default.jpg</v>
      </c>
      <c r="G168" s="67"/>
      <c r="H168" s="71"/>
      <c r="I168" s="72"/>
      <c r="J168" s="72"/>
      <c r="K168" s="71" t="s">
        <v>1410</v>
      </c>
      <c r="L168" s="75"/>
      <c r="M168" s="76">
        <v>9137.8671875</v>
      </c>
      <c r="N168" s="76">
        <v>2091.64453125</v>
      </c>
      <c r="O168" s="77"/>
      <c r="P168" s="78"/>
      <c r="Q168" s="78"/>
      <c r="R168" s="82"/>
      <c r="S168" s="82"/>
      <c r="T168" s="82"/>
      <c r="U168" s="82"/>
      <c r="V168" s="52"/>
      <c r="W168" s="52"/>
      <c r="X168" s="52"/>
      <c r="Y168" s="52"/>
      <c r="Z168" s="51"/>
      <c r="AA168" s="73">
        <v>168</v>
      </c>
      <c r="AB168" s="73"/>
      <c r="AC168" s="74"/>
      <c r="AD168" s="80" t="s">
        <v>1410</v>
      </c>
      <c r="AE168" s="80" t="s">
        <v>2432</v>
      </c>
      <c r="AF168" s="80"/>
      <c r="AG168" s="80" t="s">
        <v>3980</v>
      </c>
      <c r="AH168" s="80" t="s">
        <v>4721</v>
      </c>
      <c r="AI168" s="80">
        <v>20273</v>
      </c>
      <c r="AJ168" s="80">
        <v>11</v>
      </c>
      <c r="AK168" s="80">
        <v>271</v>
      </c>
      <c r="AL168" s="80">
        <v>12</v>
      </c>
      <c r="AM168" s="80" t="s">
        <v>5614</v>
      </c>
      <c r="AN168" s="102" t="str">
        <f>HYPERLINK("https://www.youtube.com/watch?v=MpIYlplJY4I")</f>
        <v>https://www.youtube.com/watch?v=MpIYlplJY4I</v>
      </c>
      <c r="AO168" s="2"/>
      <c r="AP168" s="3"/>
      <c r="AQ168" s="3"/>
      <c r="AR168" s="3"/>
      <c r="AS168" s="3"/>
    </row>
    <row r="169" spans="1:45" ht="15">
      <c r="A169" s="66" t="s">
        <v>376</v>
      </c>
      <c r="B169" s="67"/>
      <c r="C169" s="67"/>
      <c r="D169" s="68"/>
      <c r="E169" s="70"/>
      <c r="F169" s="100" t="str">
        <f>HYPERLINK("https://i.ytimg.com/vi/h_tUUe4Myh4/default.jpg")</f>
        <v>https://i.ytimg.com/vi/h_tUUe4Myh4/default.jpg</v>
      </c>
      <c r="G169" s="67"/>
      <c r="H169" s="71"/>
      <c r="I169" s="72"/>
      <c r="J169" s="72"/>
      <c r="K169" s="71" t="s">
        <v>1411</v>
      </c>
      <c r="L169" s="75"/>
      <c r="M169" s="76">
        <v>9187.8876953125</v>
      </c>
      <c r="N169" s="76">
        <v>2052.439208984375</v>
      </c>
      <c r="O169" s="77"/>
      <c r="P169" s="78"/>
      <c r="Q169" s="78"/>
      <c r="R169" s="82"/>
      <c r="S169" s="82"/>
      <c r="T169" s="82"/>
      <c r="U169" s="82"/>
      <c r="V169" s="52"/>
      <c r="W169" s="52"/>
      <c r="X169" s="52"/>
      <c r="Y169" s="52"/>
      <c r="Z169" s="51"/>
      <c r="AA169" s="73">
        <v>169</v>
      </c>
      <c r="AB169" s="73"/>
      <c r="AC169" s="74"/>
      <c r="AD169" s="80" t="s">
        <v>1411</v>
      </c>
      <c r="AE169" s="80" t="s">
        <v>2433</v>
      </c>
      <c r="AF169" s="80" t="s">
        <v>3288</v>
      </c>
      <c r="AG169" s="80" t="s">
        <v>3971</v>
      </c>
      <c r="AH169" s="80" t="s">
        <v>4722</v>
      </c>
      <c r="AI169" s="80">
        <v>112</v>
      </c>
      <c r="AJ169" s="80">
        <v>1</v>
      </c>
      <c r="AK169" s="80">
        <v>36</v>
      </c>
      <c r="AL169" s="80">
        <v>0</v>
      </c>
      <c r="AM169" s="80" t="s">
        <v>5614</v>
      </c>
      <c r="AN169" s="102" t="str">
        <f>HYPERLINK("https://www.youtube.com/watch?v=h_tUUe4Myh4")</f>
        <v>https://www.youtube.com/watch?v=h_tUUe4Myh4</v>
      </c>
      <c r="AO169" s="2"/>
      <c r="AP169" s="3"/>
      <c r="AQ169" s="3"/>
      <c r="AR169" s="3"/>
      <c r="AS169" s="3"/>
    </row>
    <row r="170" spans="1:45" ht="15">
      <c r="A170" s="66" t="s">
        <v>377</v>
      </c>
      <c r="B170" s="67"/>
      <c r="C170" s="67"/>
      <c r="D170" s="68"/>
      <c r="E170" s="70"/>
      <c r="F170" s="100" t="str">
        <f>HYPERLINK("https://i.ytimg.com/vi/g_gGmDY_StA/default.jpg")</f>
        <v>https://i.ytimg.com/vi/g_gGmDY_StA/default.jpg</v>
      </c>
      <c r="G170" s="67"/>
      <c r="H170" s="71"/>
      <c r="I170" s="72"/>
      <c r="J170" s="72"/>
      <c r="K170" s="71" t="s">
        <v>1412</v>
      </c>
      <c r="L170" s="75"/>
      <c r="M170" s="76">
        <v>9154.6572265625</v>
      </c>
      <c r="N170" s="76">
        <v>1910.698486328125</v>
      </c>
      <c r="O170" s="77"/>
      <c r="P170" s="78"/>
      <c r="Q170" s="78"/>
      <c r="R170" s="82"/>
      <c r="S170" s="82"/>
      <c r="T170" s="82"/>
      <c r="U170" s="82"/>
      <c r="V170" s="52"/>
      <c r="W170" s="52"/>
      <c r="X170" s="52"/>
      <c r="Y170" s="52"/>
      <c r="Z170" s="51"/>
      <c r="AA170" s="73">
        <v>170</v>
      </c>
      <c r="AB170" s="73"/>
      <c r="AC170" s="74"/>
      <c r="AD170" s="80" t="s">
        <v>1412</v>
      </c>
      <c r="AE170" s="80" t="s">
        <v>2434</v>
      </c>
      <c r="AF170" s="80" t="s">
        <v>3289</v>
      </c>
      <c r="AG170" s="80" t="s">
        <v>3981</v>
      </c>
      <c r="AH170" s="80" t="s">
        <v>4723</v>
      </c>
      <c r="AI170" s="80">
        <v>427777</v>
      </c>
      <c r="AJ170" s="80">
        <v>347</v>
      </c>
      <c r="AK170" s="80">
        <v>9184</v>
      </c>
      <c r="AL170" s="80">
        <v>226</v>
      </c>
      <c r="AM170" s="80" t="s">
        <v>5614</v>
      </c>
      <c r="AN170" s="102" t="str">
        <f>HYPERLINK("https://www.youtube.com/watch?v=g_gGmDY_StA")</f>
        <v>https://www.youtube.com/watch?v=g_gGmDY_StA</v>
      </c>
      <c r="AO170" s="2"/>
      <c r="AP170" s="3"/>
      <c r="AQ170" s="3"/>
      <c r="AR170" s="3"/>
      <c r="AS170" s="3"/>
    </row>
    <row r="171" spans="1:45" ht="15">
      <c r="A171" s="66" t="s">
        <v>378</v>
      </c>
      <c r="B171" s="67"/>
      <c r="C171" s="67"/>
      <c r="D171" s="68"/>
      <c r="E171" s="70"/>
      <c r="F171" s="100" t="str">
        <f>HYPERLINK("https://i.ytimg.com/vi/XV3Ar7oefH8/default.jpg")</f>
        <v>https://i.ytimg.com/vi/XV3Ar7oefH8/default.jpg</v>
      </c>
      <c r="G171" s="67"/>
      <c r="H171" s="71"/>
      <c r="I171" s="72"/>
      <c r="J171" s="72"/>
      <c r="K171" s="71" t="s">
        <v>1413</v>
      </c>
      <c r="L171" s="75"/>
      <c r="M171" s="76">
        <v>9455.849609375</v>
      </c>
      <c r="N171" s="76">
        <v>2414.744873046875</v>
      </c>
      <c r="O171" s="77"/>
      <c r="P171" s="78"/>
      <c r="Q171" s="78"/>
      <c r="R171" s="82"/>
      <c r="S171" s="82"/>
      <c r="T171" s="82"/>
      <c r="U171" s="82"/>
      <c r="V171" s="52"/>
      <c r="W171" s="52"/>
      <c r="X171" s="52"/>
      <c r="Y171" s="52"/>
      <c r="Z171" s="51"/>
      <c r="AA171" s="73">
        <v>171</v>
      </c>
      <c r="AB171" s="73"/>
      <c r="AC171" s="74"/>
      <c r="AD171" s="80" t="s">
        <v>1413</v>
      </c>
      <c r="AE171" s="80" t="s">
        <v>2435</v>
      </c>
      <c r="AF171" s="80" t="s">
        <v>3288</v>
      </c>
      <c r="AG171" s="80" t="s">
        <v>3971</v>
      </c>
      <c r="AH171" s="80" t="s">
        <v>4724</v>
      </c>
      <c r="AI171" s="80">
        <v>165</v>
      </c>
      <c r="AJ171" s="80">
        <v>0</v>
      </c>
      <c r="AK171" s="80">
        <v>18</v>
      </c>
      <c r="AL171" s="80">
        <v>0</v>
      </c>
      <c r="AM171" s="80" t="s">
        <v>5614</v>
      </c>
      <c r="AN171" s="102" t="str">
        <f>HYPERLINK("https://www.youtube.com/watch?v=XV3Ar7oefH8")</f>
        <v>https://www.youtube.com/watch?v=XV3Ar7oefH8</v>
      </c>
      <c r="AO171" s="2"/>
      <c r="AP171" s="3"/>
      <c r="AQ171" s="3"/>
      <c r="AR171" s="3"/>
      <c r="AS171" s="3"/>
    </row>
    <row r="172" spans="1:45" ht="15">
      <c r="A172" s="66" t="s">
        <v>379</v>
      </c>
      <c r="B172" s="67"/>
      <c r="C172" s="67"/>
      <c r="D172" s="68"/>
      <c r="E172" s="70"/>
      <c r="F172" s="100" t="str">
        <f>HYPERLINK("https://i.ytimg.com/vi/bLQxy51vEhE/default.jpg")</f>
        <v>https://i.ytimg.com/vi/bLQxy51vEhE/default.jpg</v>
      </c>
      <c r="G172" s="67"/>
      <c r="H172" s="71"/>
      <c r="I172" s="72"/>
      <c r="J172" s="72"/>
      <c r="K172" s="71" t="s">
        <v>1414</v>
      </c>
      <c r="L172" s="75"/>
      <c r="M172" s="76">
        <v>8820.5546875</v>
      </c>
      <c r="N172" s="76">
        <v>1557.5555419921875</v>
      </c>
      <c r="O172" s="77"/>
      <c r="P172" s="78"/>
      <c r="Q172" s="78"/>
      <c r="R172" s="82"/>
      <c r="S172" s="82"/>
      <c r="T172" s="82"/>
      <c r="U172" s="82"/>
      <c r="V172" s="52"/>
      <c r="W172" s="52"/>
      <c r="X172" s="52"/>
      <c r="Y172" s="52"/>
      <c r="Z172" s="51"/>
      <c r="AA172" s="73">
        <v>172</v>
      </c>
      <c r="AB172" s="73"/>
      <c r="AC172" s="74"/>
      <c r="AD172" s="80" t="s">
        <v>1414</v>
      </c>
      <c r="AE172" s="80" t="s">
        <v>2436</v>
      </c>
      <c r="AF172" s="80" t="s">
        <v>3278</v>
      </c>
      <c r="AG172" s="80" t="s">
        <v>3971</v>
      </c>
      <c r="AH172" s="80" t="s">
        <v>4725</v>
      </c>
      <c r="AI172" s="80">
        <v>57</v>
      </c>
      <c r="AJ172" s="80">
        <v>0</v>
      </c>
      <c r="AK172" s="80">
        <v>4</v>
      </c>
      <c r="AL172" s="80">
        <v>0</v>
      </c>
      <c r="AM172" s="80" t="s">
        <v>5614</v>
      </c>
      <c r="AN172" s="102" t="str">
        <f>HYPERLINK("https://www.youtube.com/watch?v=bLQxy51vEhE")</f>
        <v>https://www.youtube.com/watch?v=bLQxy51vEhE</v>
      </c>
      <c r="AO172" s="2"/>
      <c r="AP172" s="3"/>
      <c r="AQ172" s="3"/>
      <c r="AR172" s="3"/>
      <c r="AS172" s="3"/>
    </row>
    <row r="173" spans="1:45" ht="15">
      <c r="A173" s="66" t="s">
        <v>380</v>
      </c>
      <c r="B173" s="67"/>
      <c r="C173" s="67"/>
      <c r="D173" s="68"/>
      <c r="E173" s="70"/>
      <c r="F173" s="100" t="str">
        <f>HYPERLINK("https://i.ytimg.com/vi/0I_E8Zb1Uc0/default.jpg")</f>
        <v>https://i.ytimg.com/vi/0I_E8Zb1Uc0/default.jpg</v>
      </c>
      <c r="G173" s="67"/>
      <c r="H173" s="71"/>
      <c r="I173" s="72"/>
      <c r="J173" s="72"/>
      <c r="K173" s="71" t="s">
        <v>1415</v>
      </c>
      <c r="L173" s="75"/>
      <c r="M173" s="76">
        <v>9435.173828125</v>
      </c>
      <c r="N173" s="76">
        <v>2360.157958984375</v>
      </c>
      <c r="O173" s="77"/>
      <c r="P173" s="78"/>
      <c r="Q173" s="78"/>
      <c r="R173" s="82"/>
      <c r="S173" s="82"/>
      <c r="T173" s="82"/>
      <c r="U173" s="82"/>
      <c r="V173" s="52"/>
      <c r="W173" s="52"/>
      <c r="X173" s="52"/>
      <c r="Y173" s="52"/>
      <c r="Z173" s="51"/>
      <c r="AA173" s="73">
        <v>173</v>
      </c>
      <c r="AB173" s="73"/>
      <c r="AC173" s="74"/>
      <c r="AD173" s="80" t="s">
        <v>1415</v>
      </c>
      <c r="AE173" s="80" t="s">
        <v>2437</v>
      </c>
      <c r="AF173" s="80" t="s">
        <v>3290</v>
      </c>
      <c r="AG173" s="80" t="s">
        <v>3982</v>
      </c>
      <c r="AH173" s="80" t="s">
        <v>4726</v>
      </c>
      <c r="AI173" s="80">
        <v>170848</v>
      </c>
      <c r="AJ173" s="80">
        <v>167</v>
      </c>
      <c r="AK173" s="80">
        <v>9951</v>
      </c>
      <c r="AL173" s="80">
        <v>135</v>
      </c>
      <c r="AM173" s="80" t="s">
        <v>5614</v>
      </c>
      <c r="AN173" s="102" t="str">
        <f>HYPERLINK("https://www.youtube.com/watch?v=0I_E8Zb1Uc0")</f>
        <v>https://www.youtube.com/watch?v=0I_E8Zb1Uc0</v>
      </c>
      <c r="AO173" s="2"/>
      <c r="AP173" s="3"/>
      <c r="AQ173" s="3"/>
      <c r="AR173" s="3"/>
      <c r="AS173" s="3"/>
    </row>
    <row r="174" spans="1:45" ht="15">
      <c r="A174" s="66" t="s">
        <v>381</v>
      </c>
      <c r="B174" s="67"/>
      <c r="C174" s="67"/>
      <c r="D174" s="68"/>
      <c r="E174" s="70"/>
      <c r="F174" s="100" t="str">
        <f>HYPERLINK("https://i.ytimg.com/vi/bU0HnoyX4jg/default.jpg")</f>
        <v>https://i.ytimg.com/vi/bU0HnoyX4jg/default.jpg</v>
      </c>
      <c r="G174" s="67"/>
      <c r="H174" s="71"/>
      <c r="I174" s="72"/>
      <c r="J174" s="72"/>
      <c r="K174" s="71" t="s">
        <v>1416</v>
      </c>
      <c r="L174" s="75"/>
      <c r="M174" s="76">
        <v>8836.8623046875</v>
      </c>
      <c r="N174" s="76">
        <v>1655.041015625</v>
      </c>
      <c r="O174" s="77"/>
      <c r="P174" s="78"/>
      <c r="Q174" s="78"/>
      <c r="R174" s="82"/>
      <c r="S174" s="82"/>
      <c r="T174" s="82"/>
      <c r="U174" s="82"/>
      <c r="V174" s="52"/>
      <c r="W174" s="52"/>
      <c r="X174" s="52"/>
      <c r="Y174" s="52"/>
      <c r="Z174" s="51"/>
      <c r="AA174" s="73">
        <v>174</v>
      </c>
      <c r="AB174" s="73"/>
      <c r="AC174" s="74"/>
      <c r="AD174" s="80" t="s">
        <v>1416</v>
      </c>
      <c r="AE174" s="80" t="s">
        <v>2438</v>
      </c>
      <c r="AF174" s="80" t="s">
        <v>3291</v>
      </c>
      <c r="AG174" s="80" t="s">
        <v>3971</v>
      </c>
      <c r="AH174" s="80" t="s">
        <v>4727</v>
      </c>
      <c r="AI174" s="80">
        <v>163</v>
      </c>
      <c r="AJ174" s="80">
        <v>14</v>
      </c>
      <c r="AK174" s="80">
        <v>52</v>
      </c>
      <c r="AL174" s="80">
        <v>0</v>
      </c>
      <c r="AM174" s="80" t="s">
        <v>5614</v>
      </c>
      <c r="AN174" s="102" t="str">
        <f>HYPERLINK("https://www.youtube.com/watch?v=bU0HnoyX4jg")</f>
        <v>https://www.youtube.com/watch?v=bU0HnoyX4jg</v>
      </c>
      <c r="AO174" s="2"/>
      <c r="AP174" s="3"/>
      <c r="AQ174" s="3"/>
      <c r="AR174" s="3"/>
      <c r="AS174" s="3"/>
    </row>
    <row r="175" spans="1:45" ht="15">
      <c r="A175" s="66" t="s">
        <v>382</v>
      </c>
      <c r="B175" s="67"/>
      <c r="C175" s="67"/>
      <c r="D175" s="68"/>
      <c r="E175" s="70"/>
      <c r="F175" s="100" t="str">
        <f>HYPERLINK("https://i.ytimg.com/vi/R7iajtdi0FQ/default.jpg")</f>
        <v>https://i.ytimg.com/vi/R7iajtdi0FQ/default.jpg</v>
      </c>
      <c r="G175" s="67"/>
      <c r="H175" s="71"/>
      <c r="I175" s="72"/>
      <c r="J175" s="72"/>
      <c r="K175" s="71" t="s">
        <v>1417</v>
      </c>
      <c r="L175" s="75"/>
      <c r="M175" s="76">
        <v>8951.0078125</v>
      </c>
      <c r="N175" s="76">
        <v>1715.7529296875</v>
      </c>
      <c r="O175" s="77"/>
      <c r="P175" s="78"/>
      <c r="Q175" s="78"/>
      <c r="R175" s="82"/>
      <c r="S175" s="82"/>
      <c r="T175" s="82"/>
      <c r="U175" s="82"/>
      <c r="V175" s="52"/>
      <c r="W175" s="52"/>
      <c r="X175" s="52"/>
      <c r="Y175" s="52"/>
      <c r="Z175" s="51"/>
      <c r="AA175" s="73">
        <v>175</v>
      </c>
      <c r="AB175" s="73"/>
      <c r="AC175" s="74"/>
      <c r="AD175" s="80" t="s">
        <v>1417</v>
      </c>
      <c r="AE175" s="80" t="s">
        <v>2439</v>
      </c>
      <c r="AF175" s="80"/>
      <c r="AG175" s="80" t="s">
        <v>3983</v>
      </c>
      <c r="AH175" s="80" t="s">
        <v>4728</v>
      </c>
      <c r="AI175" s="80">
        <v>4886</v>
      </c>
      <c r="AJ175" s="80">
        <v>4</v>
      </c>
      <c r="AK175" s="80">
        <v>75</v>
      </c>
      <c r="AL175" s="80">
        <v>0</v>
      </c>
      <c r="AM175" s="80" t="s">
        <v>5614</v>
      </c>
      <c r="AN175" s="102" t="str">
        <f>HYPERLINK("https://www.youtube.com/watch?v=R7iajtdi0FQ")</f>
        <v>https://www.youtube.com/watch?v=R7iajtdi0FQ</v>
      </c>
      <c r="AO175" s="2"/>
      <c r="AP175" s="3"/>
      <c r="AQ175" s="3"/>
      <c r="AR175" s="3"/>
      <c r="AS175" s="3"/>
    </row>
    <row r="176" spans="1:45" ht="15">
      <c r="A176" s="66" t="s">
        <v>383</v>
      </c>
      <c r="B176" s="67"/>
      <c r="C176" s="67"/>
      <c r="D176" s="68"/>
      <c r="E176" s="70"/>
      <c r="F176" s="100" t="str">
        <f>HYPERLINK("https://i.ytimg.com/vi/Rdf96ELU7P8/default.jpg")</f>
        <v>https://i.ytimg.com/vi/Rdf96ELU7P8/default.jpg</v>
      </c>
      <c r="G176" s="67"/>
      <c r="H176" s="71"/>
      <c r="I176" s="72"/>
      <c r="J176" s="72"/>
      <c r="K176" s="71" t="s">
        <v>1418</v>
      </c>
      <c r="L176" s="75"/>
      <c r="M176" s="76">
        <v>9200.0068359375</v>
      </c>
      <c r="N176" s="76">
        <v>2150.718994140625</v>
      </c>
      <c r="O176" s="77"/>
      <c r="P176" s="78"/>
      <c r="Q176" s="78"/>
      <c r="R176" s="82"/>
      <c r="S176" s="82"/>
      <c r="T176" s="82"/>
      <c r="U176" s="82"/>
      <c r="V176" s="52"/>
      <c r="W176" s="52"/>
      <c r="X176" s="52"/>
      <c r="Y176" s="52"/>
      <c r="Z176" s="51"/>
      <c r="AA176" s="73">
        <v>176</v>
      </c>
      <c r="AB176" s="73"/>
      <c r="AC176" s="74"/>
      <c r="AD176" s="80" t="s">
        <v>1418</v>
      </c>
      <c r="AE176" s="80"/>
      <c r="AF176" s="80"/>
      <c r="AG176" s="80" t="s">
        <v>3984</v>
      </c>
      <c r="AH176" s="80" t="s">
        <v>4729</v>
      </c>
      <c r="AI176" s="80">
        <v>6326</v>
      </c>
      <c r="AJ176" s="80">
        <v>2</v>
      </c>
      <c r="AK176" s="80">
        <v>50</v>
      </c>
      <c r="AL176" s="80">
        <v>4</v>
      </c>
      <c r="AM176" s="80" t="s">
        <v>5614</v>
      </c>
      <c r="AN176" s="102" t="str">
        <f>HYPERLINK("https://www.youtube.com/watch?v=Rdf96ELU7P8")</f>
        <v>https://www.youtube.com/watch?v=Rdf96ELU7P8</v>
      </c>
      <c r="AO176" s="2"/>
      <c r="AP176" s="3"/>
      <c r="AQ176" s="3"/>
      <c r="AR176" s="3"/>
      <c r="AS176" s="3"/>
    </row>
    <row r="177" spans="1:45" ht="15">
      <c r="A177" s="66" t="s">
        <v>384</v>
      </c>
      <c r="B177" s="67"/>
      <c r="C177" s="67"/>
      <c r="D177" s="68"/>
      <c r="E177" s="70"/>
      <c r="F177" s="100" t="str">
        <f>HYPERLINK("https://i.ytimg.com/vi/jIInPHtSQ78/default.jpg")</f>
        <v>https://i.ytimg.com/vi/jIInPHtSQ78/default.jpg</v>
      </c>
      <c r="G177" s="67"/>
      <c r="H177" s="71"/>
      <c r="I177" s="72"/>
      <c r="J177" s="72"/>
      <c r="K177" s="71" t="s">
        <v>1419</v>
      </c>
      <c r="L177" s="75"/>
      <c r="M177" s="76">
        <v>8683.033203125</v>
      </c>
      <c r="N177" s="76">
        <v>1478.373779296875</v>
      </c>
      <c r="O177" s="77"/>
      <c r="P177" s="78"/>
      <c r="Q177" s="78"/>
      <c r="R177" s="82"/>
      <c r="S177" s="82"/>
      <c r="T177" s="82"/>
      <c r="U177" s="82"/>
      <c r="V177" s="52"/>
      <c r="W177" s="52"/>
      <c r="X177" s="52"/>
      <c r="Y177" s="52"/>
      <c r="Z177" s="51"/>
      <c r="AA177" s="73">
        <v>177</v>
      </c>
      <c r="AB177" s="73"/>
      <c r="AC177" s="74"/>
      <c r="AD177" s="80" t="s">
        <v>1419</v>
      </c>
      <c r="AE177" s="80" t="s">
        <v>2440</v>
      </c>
      <c r="AF177" s="80" t="s">
        <v>3292</v>
      </c>
      <c r="AG177" s="80" t="s">
        <v>3985</v>
      </c>
      <c r="AH177" s="80" t="s">
        <v>4730</v>
      </c>
      <c r="AI177" s="80">
        <v>446</v>
      </c>
      <c r="AJ177" s="80">
        <v>3</v>
      </c>
      <c r="AK177" s="80">
        <v>15</v>
      </c>
      <c r="AL177" s="80">
        <v>0</v>
      </c>
      <c r="AM177" s="80" t="s">
        <v>5614</v>
      </c>
      <c r="AN177" s="102" t="str">
        <f>HYPERLINK("https://www.youtube.com/watch?v=jIInPHtSQ78")</f>
        <v>https://www.youtube.com/watch?v=jIInPHtSQ78</v>
      </c>
      <c r="AO177" s="2"/>
      <c r="AP177" s="3"/>
      <c r="AQ177" s="3"/>
      <c r="AR177" s="3"/>
      <c r="AS177" s="3"/>
    </row>
    <row r="178" spans="1:45" ht="15">
      <c r="A178" s="66" t="s">
        <v>385</v>
      </c>
      <c r="B178" s="67"/>
      <c r="C178" s="67"/>
      <c r="D178" s="68"/>
      <c r="E178" s="70"/>
      <c r="F178" s="100" t="str">
        <f>HYPERLINK("https://i.ytimg.com/vi/vUmDpPt2sTM/default.jpg")</f>
        <v>https://i.ytimg.com/vi/vUmDpPt2sTM/default.jpg</v>
      </c>
      <c r="G178" s="67"/>
      <c r="H178" s="71"/>
      <c r="I178" s="72"/>
      <c r="J178" s="72"/>
      <c r="K178" s="71" t="s">
        <v>1420</v>
      </c>
      <c r="L178" s="75"/>
      <c r="M178" s="76">
        <v>9303.080078125</v>
      </c>
      <c r="N178" s="76">
        <v>2177.7099609375</v>
      </c>
      <c r="O178" s="77"/>
      <c r="P178" s="78"/>
      <c r="Q178" s="78"/>
      <c r="R178" s="82"/>
      <c r="S178" s="82"/>
      <c r="T178" s="82"/>
      <c r="U178" s="82"/>
      <c r="V178" s="52"/>
      <c r="W178" s="52"/>
      <c r="X178" s="52"/>
      <c r="Y178" s="52"/>
      <c r="Z178" s="51"/>
      <c r="AA178" s="73">
        <v>178</v>
      </c>
      <c r="AB178" s="73"/>
      <c r="AC178" s="74"/>
      <c r="AD178" s="80" t="s">
        <v>1420</v>
      </c>
      <c r="AE178" s="80" t="s">
        <v>2441</v>
      </c>
      <c r="AF178" s="80" t="s">
        <v>3293</v>
      </c>
      <c r="AG178" s="80" t="s">
        <v>3986</v>
      </c>
      <c r="AH178" s="80" t="s">
        <v>4731</v>
      </c>
      <c r="AI178" s="80">
        <v>979</v>
      </c>
      <c r="AJ178" s="80">
        <v>0</v>
      </c>
      <c r="AK178" s="80">
        <v>13</v>
      </c>
      <c r="AL178" s="80">
        <v>0</v>
      </c>
      <c r="AM178" s="80" t="s">
        <v>5614</v>
      </c>
      <c r="AN178" s="102" t="str">
        <f>HYPERLINK("https://www.youtube.com/watch?v=vUmDpPt2sTM")</f>
        <v>https://www.youtube.com/watch?v=vUmDpPt2sTM</v>
      </c>
      <c r="AO178" s="2"/>
      <c r="AP178" s="3"/>
      <c r="AQ178" s="3"/>
      <c r="AR178" s="3"/>
      <c r="AS178" s="3"/>
    </row>
    <row r="179" spans="1:45" ht="15">
      <c r="A179" s="66" t="s">
        <v>220</v>
      </c>
      <c r="B179" s="67"/>
      <c r="C179" s="67"/>
      <c r="D179" s="68"/>
      <c r="E179" s="70"/>
      <c r="F179" s="100" t="str">
        <f>HYPERLINK("https://i.ytimg.com/vi/WWtDDSTAa-s/default.jpg")</f>
        <v>https://i.ytimg.com/vi/WWtDDSTAa-s/default.jpg</v>
      </c>
      <c r="G179" s="67"/>
      <c r="H179" s="71"/>
      <c r="I179" s="72"/>
      <c r="J179" s="72"/>
      <c r="K179" s="71" t="s">
        <v>1421</v>
      </c>
      <c r="L179" s="75"/>
      <c r="M179" s="76">
        <v>5410.314453125</v>
      </c>
      <c r="N179" s="76">
        <v>3455.31689453125</v>
      </c>
      <c r="O179" s="77"/>
      <c r="P179" s="78"/>
      <c r="Q179" s="78"/>
      <c r="R179" s="82"/>
      <c r="S179" s="82"/>
      <c r="T179" s="82"/>
      <c r="U179" s="82"/>
      <c r="V179" s="52"/>
      <c r="W179" s="52"/>
      <c r="X179" s="52"/>
      <c r="Y179" s="52"/>
      <c r="Z179" s="51"/>
      <c r="AA179" s="73">
        <v>179</v>
      </c>
      <c r="AB179" s="73"/>
      <c r="AC179" s="74"/>
      <c r="AD179" s="80" t="s">
        <v>1421</v>
      </c>
      <c r="AE179" s="80" t="s">
        <v>2442</v>
      </c>
      <c r="AF179" s="80" t="s">
        <v>3294</v>
      </c>
      <c r="AG179" s="80" t="s">
        <v>3987</v>
      </c>
      <c r="AH179" s="80" t="s">
        <v>4732</v>
      </c>
      <c r="AI179" s="80">
        <v>32729</v>
      </c>
      <c r="AJ179" s="80">
        <v>0</v>
      </c>
      <c r="AK179" s="80">
        <v>0</v>
      </c>
      <c r="AL179" s="80">
        <v>0</v>
      </c>
      <c r="AM179" s="80" t="s">
        <v>5614</v>
      </c>
      <c r="AN179" s="102" t="str">
        <f>HYPERLINK("https://www.youtube.com/watch?v=WWtDDSTAa-s")</f>
        <v>https://www.youtube.com/watch?v=WWtDDSTAa-s</v>
      </c>
      <c r="AO179" s="2"/>
      <c r="AP179" s="3"/>
      <c r="AQ179" s="3"/>
      <c r="AR179" s="3"/>
      <c r="AS179" s="3"/>
    </row>
    <row r="180" spans="1:45" ht="15">
      <c r="A180" s="66" t="s">
        <v>386</v>
      </c>
      <c r="B180" s="67"/>
      <c r="C180" s="67"/>
      <c r="D180" s="68"/>
      <c r="E180" s="70"/>
      <c r="F180" s="100" t="str">
        <f>HYPERLINK("https://i.ytimg.com/vi/KaDND1zR2Yk/default.jpg")</f>
        <v>https://i.ytimg.com/vi/KaDND1zR2Yk/default.jpg</v>
      </c>
      <c r="G180" s="67"/>
      <c r="H180" s="71"/>
      <c r="I180" s="72"/>
      <c r="J180" s="72"/>
      <c r="K180" s="71" t="s">
        <v>1422</v>
      </c>
      <c r="L180" s="75"/>
      <c r="M180" s="76">
        <v>5794.06201171875</v>
      </c>
      <c r="N180" s="76">
        <v>4853.19482421875</v>
      </c>
      <c r="O180" s="77"/>
      <c r="P180" s="78"/>
      <c r="Q180" s="78"/>
      <c r="R180" s="82"/>
      <c r="S180" s="82"/>
      <c r="T180" s="82"/>
      <c r="U180" s="82"/>
      <c r="V180" s="52"/>
      <c r="W180" s="52"/>
      <c r="X180" s="52"/>
      <c r="Y180" s="52"/>
      <c r="Z180" s="51"/>
      <c r="AA180" s="73">
        <v>180</v>
      </c>
      <c r="AB180" s="73"/>
      <c r="AC180" s="74"/>
      <c r="AD180" s="80" t="s">
        <v>1422</v>
      </c>
      <c r="AE180" s="80" t="s">
        <v>2443</v>
      </c>
      <c r="AF180" s="80" t="s">
        <v>3295</v>
      </c>
      <c r="AG180" s="80" t="s">
        <v>3943</v>
      </c>
      <c r="AH180" s="80" t="s">
        <v>4733</v>
      </c>
      <c r="AI180" s="80">
        <v>3147</v>
      </c>
      <c r="AJ180" s="80">
        <v>7</v>
      </c>
      <c r="AK180" s="80">
        <v>96</v>
      </c>
      <c r="AL180" s="80">
        <v>1</v>
      </c>
      <c r="AM180" s="80" t="s">
        <v>5614</v>
      </c>
      <c r="AN180" s="102" t="str">
        <f>HYPERLINK("https://www.youtube.com/watch?v=KaDND1zR2Yk")</f>
        <v>https://www.youtube.com/watch?v=KaDND1zR2Yk</v>
      </c>
      <c r="AO180" s="2"/>
      <c r="AP180" s="3"/>
      <c r="AQ180" s="3"/>
      <c r="AR180" s="3"/>
      <c r="AS180" s="3"/>
    </row>
    <row r="181" spans="1:45" ht="15">
      <c r="A181" s="66" t="s">
        <v>387</v>
      </c>
      <c r="B181" s="67"/>
      <c r="C181" s="67"/>
      <c r="D181" s="68"/>
      <c r="E181" s="70"/>
      <c r="F181" s="100" t="str">
        <f>HYPERLINK("https://i.ytimg.com/vi/hKcgSgQD9xA/default.jpg")</f>
        <v>https://i.ytimg.com/vi/hKcgSgQD9xA/default.jpg</v>
      </c>
      <c r="G181" s="67"/>
      <c r="H181" s="71"/>
      <c r="I181" s="72"/>
      <c r="J181" s="72"/>
      <c r="K181" s="71" t="s">
        <v>1423</v>
      </c>
      <c r="L181" s="75"/>
      <c r="M181" s="76">
        <v>7235.77587890625</v>
      </c>
      <c r="N181" s="76">
        <v>1745.7640380859375</v>
      </c>
      <c r="O181" s="77"/>
      <c r="P181" s="78"/>
      <c r="Q181" s="78"/>
      <c r="R181" s="82"/>
      <c r="S181" s="82"/>
      <c r="T181" s="82"/>
      <c r="U181" s="82"/>
      <c r="V181" s="52"/>
      <c r="W181" s="52"/>
      <c r="X181" s="52"/>
      <c r="Y181" s="52"/>
      <c r="Z181" s="51"/>
      <c r="AA181" s="73">
        <v>181</v>
      </c>
      <c r="AB181" s="73"/>
      <c r="AC181" s="74"/>
      <c r="AD181" s="80" t="s">
        <v>1423</v>
      </c>
      <c r="AE181" s="80" t="s">
        <v>2444</v>
      </c>
      <c r="AF181" s="80" t="s">
        <v>3296</v>
      </c>
      <c r="AG181" s="80" t="s">
        <v>3988</v>
      </c>
      <c r="AH181" s="80" t="s">
        <v>4734</v>
      </c>
      <c r="AI181" s="80">
        <v>380243</v>
      </c>
      <c r="AJ181" s="80">
        <v>111</v>
      </c>
      <c r="AK181" s="80">
        <v>4362</v>
      </c>
      <c r="AL181" s="80">
        <v>204</v>
      </c>
      <c r="AM181" s="80" t="s">
        <v>5614</v>
      </c>
      <c r="AN181" s="102" t="str">
        <f>HYPERLINK("https://www.youtube.com/watch?v=hKcgSgQD9xA")</f>
        <v>https://www.youtube.com/watch?v=hKcgSgQD9xA</v>
      </c>
      <c r="AO181" s="2"/>
      <c r="AP181" s="3"/>
      <c r="AQ181" s="3"/>
      <c r="AR181" s="3"/>
      <c r="AS181" s="3"/>
    </row>
    <row r="182" spans="1:45" ht="15">
      <c r="A182" s="66" t="s">
        <v>388</v>
      </c>
      <c r="B182" s="67"/>
      <c r="C182" s="67"/>
      <c r="D182" s="68"/>
      <c r="E182" s="70"/>
      <c r="F182" s="100" t="str">
        <f>HYPERLINK("https://i.ytimg.com/vi/ZqQr4684rJM/default.jpg")</f>
        <v>https://i.ytimg.com/vi/ZqQr4684rJM/default.jpg</v>
      </c>
      <c r="G182" s="67"/>
      <c r="H182" s="71"/>
      <c r="I182" s="72"/>
      <c r="J182" s="72"/>
      <c r="K182" s="71" t="s">
        <v>1424</v>
      </c>
      <c r="L182" s="75"/>
      <c r="M182" s="76">
        <v>5985.1484375</v>
      </c>
      <c r="N182" s="76">
        <v>4856.25390625</v>
      </c>
      <c r="O182" s="77"/>
      <c r="P182" s="78"/>
      <c r="Q182" s="78"/>
      <c r="R182" s="82"/>
      <c r="S182" s="82"/>
      <c r="T182" s="82"/>
      <c r="U182" s="82"/>
      <c r="V182" s="52"/>
      <c r="W182" s="52"/>
      <c r="X182" s="52"/>
      <c r="Y182" s="52"/>
      <c r="Z182" s="51"/>
      <c r="AA182" s="73">
        <v>182</v>
      </c>
      <c r="AB182" s="73"/>
      <c r="AC182" s="74"/>
      <c r="AD182" s="80" t="s">
        <v>1424</v>
      </c>
      <c r="AE182" s="80" t="s">
        <v>2445</v>
      </c>
      <c r="AF182" s="80" t="s">
        <v>3297</v>
      </c>
      <c r="AG182" s="80" t="s">
        <v>3982</v>
      </c>
      <c r="AH182" s="80" t="s">
        <v>4735</v>
      </c>
      <c r="AI182" s="80">
        <v>290902</v>
      </c>
      <c r="AJ182" s="80">
        <v>101</v>
      </c>
      <c r="AK182" s="80">
        <v>4082</v>
      </c>
      <c r="AL182" s="80">
        <v>191</v>
      </c>
      <c r="AM182" s="80" t="s">
        <v>5614</v>
      </c>
      <c r="AN182" s="102" t="str">
        <f>HYPERLINK("https://www.youtube.com/watch?v=ZqQr4684rJM")</f>
        <v>https://www.youtube.com/watch?v=ZqQr4684rJM</v>
      </c>
      <c r="AO182" s="2"/>
      <c r="AP182" s="3"/>
      <c r="AQ182" s="3"/>
      <c r="AR182" s="3"/>
      <c r="AS182" s="3"/>
    </row>
    <row r="183" spans="1:45" ht="15">
      <c r="A183" s="66" t="s">
        <v>222</v>
      </c>
      <c r="B183" s="67"/>
      <c r="C183" s="67"/>
      <c r="D183" s="68"/>
      <c r="E183" s="70"/>
      <c r="F183" s="100" t="str">
        <f>HYPERLINK("https://i.ytimg.com/vi/n9Yf6LGcWS4/default.jpg")</f>
        <v>https://i.ytimg.com/vi/n9Yf6LGcWS4/default.jpg</v>
      </c>
      <c r="G183" s="67"/>
      <c r="H183" s="71"/>
      <c r="I183" s="72"/>
      <c r="J183" s="72"/>
      <c r="K183" s="71" t="s">
        <v>1300</v>
      </c>
      <c r="L183" s="75"/>
      <c r="M183" s="76">
        <v>5875.8486328125</v>
      </c>
      <c r="N183" s="76">
        <v>3396.63330078125</v>
      </c>
      <c r="O183" s="77"/>
      <c r="P183" s="78"/>
      <c r="Q183" s="78"/>
      <c r="R183" s="82"/>
      <c r="S183" s="82"/>
      <c r="T183" s="82"/>
      <c r="U183" s="82"/>
      <c r="V183" s="52"/>
      <c r="W183" s="52"/>
      <c r="X183" s="52"/>
      <c r="Y183" s="52"/>
      <c r="Z183" s="51"/>
      <c r="AA183" s="73">
        <v>183</v>
      </c>
      <c r="AB183" s="73"/>
      <c r="AC183" s="74"/>
      <c r="AD183" s="80" t="s">
        <v>1300</v>
      </c>
      <c r="AE183" s="80"/>
      <c r="AF183" s="80"/>
      <c r="AG183" s="80" t="s">
        <v>3989</v>
      </c>
      <c r="AH183" s="80" t="s">
        <v>4736</v>
      </c>
      <c r="AI183" s="80">
        <v>835</v>
      </c>
      <c r="AJ183" s="80">
        <v>0</v>
      </c>
      <c r="AK183" s="80">
        <v>12</v>
      </c>
      <c r="AL183" s="80">
        <v>0</v>
      </c>
      <c r="AM183" s="80" t="s">
        <v>5614</v>
      </c>
      <c r="AN183" s="102" t="str">
        <f>HYPERLINK("https://www.youtube.com/watch?v=n9Yf6LGcWS4")</f>
        <v>https://www.youtube.com/watch?v=n9Yf6LGcWS4</v>
      </c>
      <c r="AO183" s="2"/>
      <c r="AP183" s="3"/>
      <c r="AQ183" s="3"/>
      <c r="AR183" s="3"/>
      <c r="AS183" s="3"/>
    </row>
    <row r="184" spans="1:45" ht="15">
      <c r="A184" s="66" t="s">
        <v>389</v>
      </c>
      <c r="B184" s="67"/>
      <c r="C184" s="67"/>
      <c r="D184" s="68"/>
      <c r="E184" s="70"/>
      <c r="F184" s="100" t="str">
        <f>HYPERLINK("https://i.ytimg.com/vi/cz7AGQ8H9hE/default.jpg")</f>
        <v>https://i.ytimg.com/vi/cz7AGQ8H9hE/default.jpg</v>
      </c>
      <c r="G184" s="67"/>
      <c r="H184" s="71"/>
      <c r="I184" s="72"/>
      <c r="J184" s="72"/>
      <c r="K184" s="71" t="s">
        <v>1425</v>
      </c>
      <c r="L184" s="75"/>
      <c r="M184" s="76">
        <v>7405.14501953125</v>
      </c>
      <c r="N184" s="76">
        <v>3831.37255859375</v>
      </c>
      <c r="O184" s="77"/>
      <c r="P184" s="78"/>
      <c r="Q184" s="78"/>
      <c r="R184" s="82"/>
      <c r="S184" s="82"/>
      <c r="T184" s="82"/>
      <c r="U184" s="82"/>
      <c r="V184" s="52"/>
      <c r="W184" s="52"/>
      <c r="X184" s="52"/>
      <c r="Y184" s="52"/>
      <c r="Z184" s="51"/>
      <c r="AA184" s="73">
        <v>184</v>
      </c>
      <c r="AB184" s="73"/>
      <c r="AC184" s="74"/>
      <c r="AD184" s="80" t="s">
        <v>1425</v>
      </c>
      <c r="AE184" s="80" t="s">
        <v>2446</v>
      </c>
      <c r="AF184" s="80" t="s">
        <v>3298</v>
      </c>
      <c r="AG184" s="80" t="s">
        <v>3990</v>
      </c>
      <c r="AH184" s="80" t="s">
        <v>4737</v>
      </c>
      <c r="AI184" s="80">
        <v>26444</v>
      </c>
      <c r="AJ184" s="80">
        <v>75</v>
      </c>
      <c r="AK184" s="80">
        <v>1133</v>
      </c>
      <c r="AL184" s="80">
        <v>17</v>
      </c>
      <c r="AM184" s="80" t="s">
        <v>5614</v>
      </c>
      <c r="AN184" s="102" t="str">
        <f>HYPERLINK("https://www.youtube.com/watch?v=cz7AGQ8H9hE")</f>
        <v>https://www.youtube.com/watch?v=cz7AGQ8H9hE</v>
      </c>
      <c r="AO184" s="2"/>
      <c r="AP184" s="3"/>
      <c r="AQ184" s="3"/>
      <c r="AR184" s="3"/>
      <c r="AS184" s="3"/>
    </row>
    <row r="185" spans="1:45" ht="15">
      <c r="A185" s="66" t="s">
        <v>390</v>
      </c>
      <c r="B185" s="67"/>
      <c r="C185" s="67"/>
      <c r="D185" s="68"/>
      <c r="E185" s="70"/>
      <c r="F185" s="100" t="str">
        <f>HYPERLINK("https://i.ytimg.com/vi/4hxgdaLWbMQ/default.jpg")</f>
        <v>https://i.ytimg.com/vi/4hxgdaLWbMQ/default.jpg</v>
      </c>
      <c r="G185" s="67"/>
      <c r="H185" s="71"/>
      <c r="I185" s="72"/>
      <c r="J185" s="72"/>
      <c r="K185" s="71" t="s">
        <v>1426</v>
      </c>
      <c r="L185" s="75"/>
      <c r="M185" s="76">
        <v>6441.712890625</v>
      </c>
      <c r="N185" s="76">
        <v>4155.841796875</v>
      </c>
      <c r="O185" s="77"/>
      <c r="P185" s="78"/>
      <c r="Q185" s="78"/>
      <c r="R185" s="82"/>
      <c r="S185" s="82"/>
      <c r="T185" s="82"/>
      <c r="U185" s="82"/>
      <c r="V185" s="52"/>
      <c r="W185" s="52"/>
      <c r="X185" s="52"/>
      <c r="Y185" s="52"/>
      <c r="Z185" s="51"/>
      <c r="AA185" s="73">
        <v>185</v>
      </c>
      <c r="AB185" s="73"/>
      <c r="AC185" s="74"/>
      <c r="AD185" s="80" t="s">
        <v>1426</v>
      </c>
      <c r="AE185" s="80" t="s">
        <v>2447</v>
      </c>
      <c r="AF185" s="80"/>
      <c r="AG185" s="80" t="s">
        <v>3991</v>
      </c>
      <c r="AH185" s="80" t="s">
        <v>4738</v>
      </c>
      <c r="AI185" s="80">
        <v>1131</v>
      </c>
      <c r="AJ185" s="80">
        <v>3</v>
      </c>
      <c r="AK185" s="80">
        <v>14</v>
      </c>
      <c r="AL185" s="80">
        <v>0</v>
      </c>
      <c r="AM185" s="80" t="s">
        <v>5614</v>
      </c>
      <c r="AN185" s="102" t="str">
        <f>HYPERLINK("https://www.youtube.com/watch?v=4hxgdaLWbMQ")</f>
        <v>https://www.youtube.com/watch?v=4hxgdaLWbMQ</v>
      </c>
      <c r="AO185" s="2"/>
      <c r="AP185" s="3"/>
      <c r="AQ185" s="3"/>
      <c r="AR185" s="3"/>
      <c r="AS185" s="3"/>
    </row>
    <row r="186" spans="1:45" ht="15">
      <c r="A186" s="66" t="s">
        <v>391</v>
      </c>
      <c r="B186" s="67"/>
      <c r="C186" s="67"/>
      <c r="D186" s="68"/>
      <c r="E186" s="70"/>
      <c r="F186" s="100" t="str">
        <f>HYPERLINK("https://i.ytimg.com/vi/lo6xTUDWqbg/default.jpg")</f>
        <v>https://i.ytimg.com/vi/lo6xTUDWqbg/default.jpg</v>
      </c>
      <c r="G186" s="67"/>
      <c r="H186" s="71"/>
      <c r="I186" s="72"/>
      <c r="J186" s="72"/>
      <c r="K186" s="71" t="s">
        <v>1427</v>
      </c>
      <c r="L186" s="75"/>
      <c r="M186" s="76">
        <v>6887.4150390625</v>
      </c>
      <c r="N186" s="76">
        <v>3859.7958984375</v>
      </c>
      <c r="O186" s="77"/>
      <c r="P186" s="78"/>
      <c r="Q186" s="78"/>
      <c r="R186" s="82"/>
      <c r="S186" s="82"/>
      <c r="T186" s="82"/>
      <c r="U186" s="82"/>
      <c r="V186" s="52"/>
      <c r="W186" s="52"/>
      <c r="X186" s="52"/>
      <c r="Y186" s="52"/>
      <c r="Z186" s="51"/>
      <c r="AA186" s="73">
        <v>186</v>
      </c>
      <c r="AB186" s="73"/>
      <c r="AC186" s="74"/>
      <c r="AD186" s="80" t="s">
        <v>1427</v>
      </c>
      <c r="AE186" s="80" t="s">
        <v>2448</v>
      </c>
      <c r="AF186" s="80" t="s">
        <v>3299</v>
      </c>
      <c r="AG186" s="80" t="s">
        <v>3943</v>
      </c>
      <c r="AH186" s="80" t="s">
        <v>4739</v>
      </c>
      <c r="AI186" s="80">
        <v>14171</v>
      </c>
      <c r="AJ186" s="80">
        <v>113</v>
      </c>
      <c r="AK186" s="80">
        <v>757</v>
      </c>
      <c r="AL186" s="80">
        <v>17</v>
      </c>
      <c r="AM186" s="80" t="s">
        <v>5614</v>
      </c>
      <c r="AN186" s="102" t="str">
        <f>HYPERLINK("https://www.youtube.com/watch?v=lo6xTUDWqbg")</f>
        <v>https://www.youtube.com/watch?v=lo6xTUDWqbg</v>
      </c>
      <c r="AO186" s="2"/>
      <c r="AP186" s="3"/>
      <c r="AQ186" s="3"/>
      <c r="AR186" s="3"/>
      <c r="AS186" s="3"/>
    </row>
    <row r="187" spans="1:45" ht="15">
      <c r="A187" s="66" t="s">
        <v>188</v>
      </c>
      <c r="B187" s="67"/>
      <c r="C187" s="67"/>
      <c r="D187" s="68"/>
      <c r="E187" s="70"/>
      <c r="F187" s="100" t="str">
        <f>HYPERLINK("https://i.ytimg.com/vi/7VsmO-5TEC0/default.jpg")</f>
        <v>https://i.ytimg.com/vi/7VsmO-5TEC0/default.jpg</v>
      </c>
      <c r="G187" s="67"/>
      <c r="H187" s="71"/>
      <c r="I187" s="72"/>
      <c r="J187" s="72"/>
      <c r="K187" s="71" t="s">
        <v>1428</v>
      </c>
      <c r="L187" s="75"/>
      <c r="M187" s="76">
        <v>5105.27392578125</v>
      </c>
      <c r="N187" s="76">
        <v>3055.720458984375</v>
      </c>
      <c r="O187" s="77"/>
      <c r="P187" s="78"/>
      <c r="Q187" s="78"/>
      <c r="R187" s="82"/>
      <c r="S187" s="82"/>
      <c r="T187" s="82"/>
      <c r="U187" s="82"/>
      <c r="V187" s="52"/>
      <c r="W187" s="52"/>
      <c r="X187" s="52"/>
      <c r="Y187" s="52"/>
      <c r="Z187" s="51"/>
      <c r="AA187" s="73">
        <v>187</v>
      </c>
      <c r="AB187" s="73"/>
      <c r="AC187" s="74"/>
      <c r="AD187" s="80" t="s">
        <v>1428</v>
      </c>
      <c r="AE187" s="80" t="s">
        <v>2449</v>
      </c>
      <c r="AF187" s="80" t="s">
        <v>3300</v>
      </c>
      <c r="AG187" s="80" t="s">
        <v>3987</v>
      </c>
      <c r="AH187" s="80" t="s">
        <v>4740</v>
      </c>
      <c r="AI187" s="80">
        <v>280</v>
      </c>
      <c r="AJ187" s="80">
        <v>0</v>
      </c>
      <c r="AK187" s="80">
        <v>0</v>
      </c>
      <c r="AL187" s="80">
        <v>0</v>
      </c>
      <c r="AM187" s="80" t="s">
        <v>5614</v>
      </c>
      <c r="AN187" s="102" t="str">
        <f>HYPERLINK("https://www.youtube.com/watch?v=7VsmO-5TEC0")</f>
        <v>https://www.youtube.com/watch?v=7VsmO-5TEC0</v>
      </c>
      <c r="AO187" s="2"/>
      <c r="AP187" s="3"/>
      <c r="AQ187" s="3"/>
      <c r="AR187" s="3"/>
      <c r="AS187" s="3"/>
    </row>
    <row r="188" spans="1:45" ht="15">
      <c r="A188" s="66" t="s">
        <v>392</v>
      </c>
      <c r="B188" s="67"/>
      <c r="C188" s="67"/>
      <c r="D188" s="68"/>
      <c r="E188" s="70"/>
      <c r="F188" s="100" t="str">
        <f>HYPERLINK("https://i.ytimg.com/vi/pwimJs-zdOI/default.jpg")</f>
        <v>https://i.ytimg.com/vi/pwimJs-zdOI/default.jpg</v>
      </c>
      <c r="G188" s="67"/>
      <c r="H188" s="71"/>
      <c r="I188" s="72"/>
      <c r="J188" s="72"/>
      <c r="K188" s="71" t="s">
        <v>1429</v>
      </c>
      <c r="L188" s="75"/>
      <c r="M188" s="76">
        <v>4068.273681640625</v>
      </c>
      <c r="N188" s="76">
        <v>1072.190673828125</v>
      </c>
      <c r="O188" s="77"/>
      <c r="P188" s="78"/>
      <c r="Q188" s="78"/>
      <c r="R188" s="82"/>
      <c r="S188" s="82"/>
      <c r="T188" s="82"/>
      <c r="U188" s="82"/>
      <c r="V188" s="52"/>
      <c r="W188" s="52"/>
      <c r="X188" s="52"/>
      <c r="Y188" s="52"/>
      <c r="Z188" s="51"/>
      <c r="AA188" s="73">
        <v>188</v>
      </c>
      <c r="AB188" s="73"/>
      <c r="AC188" s="74"/>
      <c r="AD188" s="80" t="s">
        <v>1429</v>
      </c>
      <c r="AE188" s="80"/>
      <c r="AF188" s="80"/>
      <c r="AG188" s="80" t="s">
        <v>3992</v>
      </c>
      <c r="AH188" s="80" t="s">
        <v>4741</v>
      </c>
      <c r="AI188" s="80">
        <v>87774</v>
      </c>
      <c r="AJ188" s="80">
        <v>0</v>
      </c>
      <c r="AK188" s="80">
        <v>129</v>
      </c>
      <c r="AL188" s="80">
        <v>39</v>
      </c>
      <c r="AM188" s="80" t="s">
        <v>5614</v>
      </c>
      <c r="AN188" s="102" t="str">
        <f>HYPERLINK("https://www.youtube.com/watch?v=pwimJs-zdOI")</f>
        <v>https://www.youtube.com/watch?v=pwimJs-zdOI</v>
      </c>
      <c r="AO188" s="2"/>
      <c r="AP188" s="3"/>
      <c r="AQ188" s="3"/>
      <c r="AR188" s="3"/>
      <c r="AS188" s="3"/>
    </row>
    <row r="189" spans="1:45" ht="15">
      <c r="A189" s="66" t="s">
        <v>393</v>
      </c>
      <c r="B189" s="67"/>
      <c r="C189" s="67"/>
      <c r="D189" s="68"/>
      <c r="E189" s="70"/>
      <c r="F189" s="100" t="str">
        <f>HYPERLINK("https://i.ytimg.com/vi/awjP4imRNIc/default.jpg")</f>
        <v>https://i.ytimg.com/vi/awjP4imRNIc/default.jpg</v>
      </c>
      <c r="G189" s="67"/>
      <c r="H189" s="71"/>
      <c r="I189" s="72"/>
      <c r="J189" s="72"/>
      <c r="K189" s="71" t="s">
        <v>1430</v>
      </c>
      <c r="L189" s="75"/>
      <c r="M189" s="76">
        <v>3818.3359375</v>
      </c>
      <c r="N189" s="76">
        <v>1226.2296142578125</v>
      </c>
      <c r="O189" s="77"/>
      <c r="P189" s="78"/>
      <c r="Q189" s="78"/>
      <c r="R189" s="82"/>
      <c r="S189" s="82"/>
      <c r="T189" s="82"/>
      <c r="U189" s="82"/>
      <c r="V189" s="52"/>
      <c r="W189" s="52"/>
      <c r="X189" s="52"/>
      <c r="Y189" s="52"/>
      <c r="Z189" s="51"/>
      <c r="AA189" s="73">
        <v>189</v>
      </c>
      <c r="AB189" s="73"/>
      <c r="AC189" s="74"/>
      <c r="AD189" s="80" t="s">
        <v>1430</v>
      </c>
      <c r="AE189" s="80"/>
      <c r="AF189" s="80" t="s">
        <v>3301</v>
      </c>
      <c r="AG189" s="80" t="s">
        <v>3993</v>
      </c>
      <c r="AH189" s="80" t="s">
        <v>4742</v>
      </c>
      <c r="AI189" s="80">
        <v>46495</v>
      </c>
      <c r="AJ189" s="80">
        <v>63</v>
      </c>
      <c r="AK189" s="80">
        <v>318</v>
      </c>
      <c r="AL189" s="80">
        <v>27</v>
      </c>
      <c r="AM189" s="80" t="s">
        <v>5614</v>
      </c>
      <c r="AN189" s="102" t="str">
        <f>HYPERLINK("https://www.youtube.com/watch?v=awjP4imRNIc")</f>
        <v>https://www.youtube.com/watch?v=awjP4imRNIc</v>
      </c>
      <c r="AO189" s="2"/>
      <c r="AP189" s="3"/>
      <c r="AQ189" s="3"/>
      <c r="AR189" s="3"/>
      <c r="AS189" s="3"/>
    </row>
    <row r="190" spans="1:45" ht="15">
      <c r="A190" s="66" t="s">
        <v>394</v>
      </c>
      <c r="B190" s="67"/>
      <c r="C190" s="67"/>
      <c r="D190" s="68"/>
      <c r="E190" s="70"/>
      <c r="F190" s="100" t="str">
        <f>HYPERLINK("https://i.ytimg.com/vi/zrNx-7Rw7Xw/default.jpg")</f>
        <v>https://i.ytimg.com/vi/zrNx-7Rw7Xw/default.jpg</v>
      </c>
      <c r="G190" s="67"/>
      <c r="H190" s="71"/>
      <c r="I190" s="72"/>
      <c r="J190" s="72"/>
      <c r="K190" s="71" t="s">
        <v>1431</v>
      </c>
      <c r="L190" s="75"/>
      <c r="M190" s="76">
        <v>3578.638427734375</v>
      </c>
      <c r="N190" s="76">
        <v>1369.6080322265625</v>
      </c>
      <c r="O190" s="77"/>
      <c r="P190" s="78"/>
      <c r="Q190" s="78"/>
      <c r="R190" s="82"/>
      <c r="S190" s="82"/>
      <c r="T190" s="82"/>
      <c r="U190" s="82"/>
      <c r="V190" s="52"/>
      <c r="W190" s="52"/>
      <c r="X190" s="52"/>
      <c r="Y190" s="52"/>
      <c r="Z190" s="51"/>
      <c r="AA190" s="73">
        <v>190</v>
      </c>
      <c r="AB190" s="73"/>
      <c r="AC190" s="74"/>
      <c r="AD190" s="80" t="s">
        <v>1431</v>
      </c>
      <c r="AE190" s="80" t="s">
        <v>2450</v>
      </c>
      <c r="AF190" s="80" t="s">
        <v>3302</v>
      </c>
      <c r="AG190" s="80" t="s">
        <v>3994</v>
      </c>
      <c r="AH190" s="80" t="s">
        <v>4743</v>
      </c>
      <c r="AI190" s="80">
        <v>217143</v>
      </c>
      <c r="AJ190" s="80">
        <v>138</v>
      </c>
      <c r="AK190" s="80">
        <v>1048</v>
      </c>
      <c r="AL190" s="80">
        <v>206</v>
      </c>
      <c r="AM190" s="80" t="s">
        <v>5614</v>
      </c>
      <c r="AN190" s="102" t="str">
        <f>HYPERLINK("https://www.youtube.com/watch?v=zrNx-7Rw7Xw")</f>
        <v>https://www.youtube.com/watch?v=zrNx-7Rw7Xw</v>
      </c>
      <c r="AO190" s="2"/>
      <c r="AP190" s="3"/>
      <c r="AQ190" s="3"/>
      <c r="AR190" s="3"/>
      <c r="AS190" s="3"/>
    </row>
    <row r="191" spans="1:45" ht="15">
      <c r="A191" s="66" t="s">
        <v>395</v>
      </c>
      <c r="B191" s="67"/>
      <c r="C191" s="67"/>
      <c r="D191" s="68"/>
      <c r="E191" s="70"/>
      <c r="F191" s="100" t="str">
        <f>HYPERLINK("https://i.ytimg.com/vi/qNjAcEFJ-KA/default.jpg")</f>
        <v>https://i.ytimg.com/vi/qNjAcEFJ-KA/default.jpg</v>
      </c>
      <c r="G191" s="67"/>
      <c r="H191" s="71"/>
      <c r="I191" s="72"/>
      <c r="J191" s="72"/>
      <c r="K191" s="71" t="s">
        <v>1432</v>
      </c>
      <c r="L191" s="75"/>
      <c r="M191" s="76">
        <v>4084.957763671875</v>
      </c>
      <c r="N191" s="76">
        <v>1090.826416015625</v>
      </c>
      <c r="O191" s="77"/>
      <c r="P191" s="78"/>
      <c r="Q191" s="78"/>
      <c r="R191" s="82"/>
      <c r="S191" s="82"/>
      <c r="T191" s="82"/>
      <c r="U191" s="82"/>
      <c r="V191" s="52"/>
      <c r="W191" s="52"/>
      <c r="X191" s="52"/>
      <c r="Y191" s="52"/>
      <c r="Z191" s="51"/>
      <c r="AA191" s="73">
        <v>191</v>
      </c>
      <c r="AB191" s="73"/>
      <c r="AC191" s="74"/>
      <c r="AD191" s="80" t="s">
        <v>1432</v>
      </c>
      <c r="AE191" s="80" t="s">
        <v>2451</v>
      </c>
      <c r="AF191" s="80" t="s">
        <v>3303</v>
      </c>
      <c r="AG191" s="80" t="s">
        <v>3995</v>
      </c>
      <c r="AH191" s="80" t="s">
        <v>4744</v>
      </c>
      <c r="AI191" s="80">
        <v>8037</v>
      </c>
      <c r="AJ191" s="80">
        <v>3</v>
      </c>
      <c r="AK191" s="80">
        <v>37</v>
      </c>
      <c r="AL191" s="80">
        <v>2</v>
      </c>
      <c r="AM191" s="80" t="s">
        <v>5614</v>
      </c>
      <c r="AN191" s="102" t="str">
        <f>HYPERLINK("https://www.youtube.com/watch?v=qNjAcEFJ-KA")</f>
        <v>https://www.youtube.com/watch?v=qNjAcEFJ-KA</v>
      </c>
      <c r="AO191" s="2"/>
      <c r="AP191" s="3"/>
      <c r="AQ191" s="3"/>
      <c r="AR191" s="3"/>
      <c r="AS191" s="3"/>
    </row>
    <row r="192" spans="1:45" ht="15">
      <c r="A192" s="66" t="s">
        <v>396</v>
      </c>
      <c r="B192" s="67"/>
      <c r="C192" s="67"/>
      <c r="D192" s="68"/>
      <c r="E192" s="70"/>
      <c r="F192" s="100" t="str">
        <f>HYPERLINK("https://i.ytimg.com/vi/DXMBVYQ91HU/default.jpg")</f>
        <v>https://i.ytimg.com/vi/DXMBVYQ91HU/default.jpg</v>
      </c>
      <c r="G192" s="67"/>
      <c r="H192" s="71"/>
      <c r="I192" s="72"/>
      <c r="J192" s="72"/>
      <c r="K192" s="71" t="s">
        <v>1433</v>
      </c>
      <c r="L192" s="75"/>
      <c r="M192" s="76">
        <v>3894.952880859375</v>
      </c>
      <c r="N192" s="76">
        <v>1139.703125</v>
      </c>
      <c r="O192" s="77"/>
      <c r="P192" s="78"/>
      <c r="Q192" s="78"/>
      <c r="R192" s="82"/>
      <c r="S192" s="82"/>
      <c r="T192" s="82"/>
      <c r="U192" s="82"/>
      <c r="V192" s="52"/>
      <c r="W192" s="52"/>
      <c r="X192" s="52"/>
      <c r="Y192" s="52"/>
      <c r="Z192" s="51"/>
      <c r="AA192" s="73">
        <v>192</v>
      </c>
      <c r="AB192" s="73"/>
      <c r="AC192" s="74"/>
      <c r="AD192" s="80" t="s">
        <v>1433</v>
      </c>
      <c r="AE192" s="80"/>
      <c r="AF192" s="80" t="s">
        <v>3304</v>
      </c>
      <c r="AG192" s="80" t="s">
        <v>3996</v>
      </c>
      <c r="AH192" s="80" t="s">
        <v>4745</v>
      </c>
      <c r="AI192" s="80">
        <v>583796</v>
      </c>
      <c r="AJ192" s="80">
        <v>536</v>
      </c>
      <c r="AK192" s="80">
        <v>8256</v>
      </c>
      <c r="AL192" s="80">
        <v>337</v>
      </c>
      <c r="AM192" s="80" t="s">
        <v>5614</v>
      </c>
      <c r="AN192" s="102" t="str">
        <f>HYPERLINK("https://www.youtube.com/watch?v=DXMBVYQ91HU")</f>
        <v>https://www.youtube.com/watch?v=DXMBVYQ91HU</v>
      </c>
      <c r="AO192" s="2"/>
      <c r="AP192" s="3"/>
      <c r="AQ192" s="3"/>
      <c r="AR192" s="3"/>
      <c r="AS192" s="3"/>
    </row>
    <row r="193" spans="1:45" ht="15">
      <c r="A193" s="66" t="s">
        <v>397</v>
      </c>
      <c r="B193" s="67"/>
      <c r="C193" s="67"/>
      <c r="D193" s="68"/>
      <c r="E193" s="70"/>
      <c r="F193" s="100" t="str">
        <f>HYPERLINK("https://i.ytimg.com/vi/84QWQONwamI/default.jpg")</f>
        <v>https://i.ytimg.com/vi/84QWQONwamI/default.jpg</v>
      </c>
      <c r="G193" s="67"/>
      <c r="H193" s="71"/>
      <c r="I193" s="72"/>
      <c r="J193" s="72"/>
      <c r="K193" s="71" t="s">
        <v>1434</v>
      </c>
      <c r="L193" s="75"/>
      <c r="M193" s="76">
        <v>4262.8408203125</v>
      </c>
      <c r="N193" s="76">
        <v>996.3399047851562</v>
      </c>
      <c r="O193" s="77"/>
      <c r="P193" s="78"/>
      <c r="Q193" s="78"/>
      <c r="R193" s="82"/>
      <c r="S193" s="82"/>
      <c r="T193" s="82"/>
      <c r="U193" s="82"/>
      <c r="V193" s="52"/>
      <c r="W193" s="52"/>
      <c r="X193" s="52"/>
      <c r="Y193" s="52"/>
      <c r="Z193" s="51"/>
      <c r="AA193" s="73">
        <v>193</v>
      </c>
      <c r="AB193" s="73"/>
      <c r="AC193" s="74"/>
      <c r="AD193" s="80" t="s">
        <v>1434</v>
      </c>
      <c r="AE193" s="80"/>
      <c r="AF193" s="80"/>
      <c r="AG193" s="80" t="s">
        <v>3987</v>
      </c>
      <c r="AH193" s="80" t="s">
        <v>4746</v>
      </c>
      <c r="AI193" s="80">
        <v>209</v>
      </c>
      <c r="AJ193" s="80">
        <v>0</v>
      </c>
      <c r="AK193" s="80">
        <v>0</v>
      </c>
      <c r="AL193" s="80">
        <v>0</v>
      </c>
      <c r="AM193" s="80" t="s">
        <v>5614</v>
      </c>
      <c r="AN193" s="102" t="str">
        <f>HYPERLINK("https://www.youtube.com/watch?v=84QWQONwamI")</f>
        <v>https://www.youtube.com/watch?v=84QWQONwamI</v>
      </c>
      <c r="AO193" s="2"/>
      <c r="AP193" s="3"/>
      <c r="AQ193" s="3"/>
      <c r="AR193" s="3"/>
      <c r="AS193" s="3"/>
    </row>
    <row r="194" spans="1:45" ht="15">
      <c r="A194" s="66" t="s">
        <v>398</v>
      </c>
      <c r="B194" s="67"/>
      <c r="C194" s="67"/>
      <c r="D194" s="68"/>
      <c r="E194" s="70"/>
      <c r="F194" s="100" t="str">
        <f>HYPERLINK("https://i.ytimg.com/vi/Jm4hfF7fHH8/default.jpg")</f>
        <v>https://i.ytimg.com/vi/Jm4hfF7fHH8/default.jpg</v>
      </c>
      <c r="G194" s="67"/>
      <c r="H194" s="71"/>
      <c r="I194" s="72"/>
      <c r="J194" s="72"/>
      <c r="K194" s="71" t="s">
        <v>1435</v>
      </c>
      <c r="L194" s="75"/>
      <c r="M194" s="76">
        <v>4322.37060546875</v>
      </c>
      <c r="N194" s="76">
        <v>971.841064453125</v>
      </c>
      <c r="O194" s="77"/>
      <c r="P194" s="78"/>
      <c r="Q194" s="78"/>
      <c r="R194" s="82"/>
      <c r="S194" s="82"/>
      <c r="T194" s="82"/>
      <c r="U194" s="82"/>
      <c r="V194" s="52"/>
      <c r="W194" s="52"/>
      <c r="X194" s="52"/>
      <c r="Y194" s="52"/>
      <c r="Z194" s="51"/>
      <c r="AA194" s="73">
        <v>194</v>
      </c>
      <c r="AB194" s="73"/>
      <c r="AC194" s="74"/>
      <c r="AD194" s="80" t="s">
        <v>1435</v>
      </c>
      <c r="AE194" s="80" t="s">
        <v>2452</v>
      </c>
      <c r="AF194" s="80" t="s">
        <v>3305</v>
      </c>
      <c r="AG194" s="80" t="s">
        <v>3997</v>
      </c>
      <c r="AH194" s="80" t="s">
        <v>4747</v>
      </c>
      <c r="AI194" s="80">
        <v>32592</v>
      </c>
      <c r="AJ194" s="80">
        <v>7</v>
      </c>
      <c r="AK194" s="80">
        <v>73</v>
      </c>
      <c r="AL194" s="80">
        <v>14</v>
      </c>
      <c r="AM194" s="80" t="s">
        <v>5614</v>
      </c>
      <c r="AN194" s="102" t="str">
        <f>HYPERLINK("https://www.youtube.com/watch?v=Jm4hfF7fHH8")</f>
        <v>https://www.youtube.com/watch?v=Jm4hfF7fHH8</v>
      </c>
      <c r="AO194" s="2"/>
      <c r="AP194" s="3"/>
      <c r="AQ194" s="3"/>
      <c r="AR194" s="3"/>
      <c r="AS194" s="3"/>
    </row>
    <row r="195" spans="1:45" ht="15">
      <c r="A195" s="66" t="s">
        <v>399</v>
      </c>
      <c r="B195" s="67"/>
      <c r="C195" s="67"/>
      <c r="D195" s="68"/>
      <c r="E195" s="70"/>
      <c r="F195" s="100" t="str">
        <f>HYPERLINK("https://i.ytimg.com/vi/TsI1Y5OylqM/default.jpg")</f>
        <v>https://i.ytimg.com/vi/TsI1Y5OylqM/default.jpg</v>
      </c>
      <c r="G195" s="67"/>
      <c r="H195" s="71"/>
      <c r="I195" s="72"/>
      <c r="J195" s="72"/>
      <c r="K195" s="71" t="s">
        <v>1436</v>
      </c>
      <c r="L195" s="75"/>
      <c r="M195" s="76">
        <v>4473.443359375</v>
      </c>
      <c r="N195" s="76">
        <v>885.2687377929688</v>
      </c>
      <c r="O195" s="77"/>
      <c r="P195" s="78"/>
      <c r="Q195" s="78"/>
      <c r="R195" s="82"/>
      <c r="S195" s="82"/>
      <c r="T195" s="82"/>
      <c r="U195" s="82"/>
      <c r="V195" s="52"/>
      <c r="W195" s="52"/>
      <c r="X195" s="52"/>
      <c r="Y195" s="52"/>
      <c r="Z195" s="51"/>
      <c r="AA195" s="73">
        <v>195</v>
      </c>
      <c r="AB195" s="73"/>
      <c r="AC195" s="74"/>
      <c r="AD195" s="80" t="s">
        <v>1436</v>
      </c>
      <c r="AE195" s="80"/>
      <c r="AF195" s="80"/>
      <c r="AG195" s="80" t="s">
        <v>3987</v>
      </c>
      <c r="AH195" s="80" t="s">
        <v>4748</v>
      </c>
      <c r="AI195" s="80">
        <v>109</v>
      </c>
      <c r="AJ195" s="80">
        <v>0</v>
      </c>
      <c r="AK195" s="80">
        <v>0</v>
      </c>
      <c r="AL195" s="80">
        <v>0</v>
      </c>
      <c r="AM195" s="80" t="s">
        <v>5614</v>
      </c>
      <c r="AN195" s="102" t="str">
        <f>HYPERLINK("https://www.youtube.com/watch?v=TsI1Y5OylqM")</f>
        <v>https://www.youtube.com/watch?v=TsI1Y5OylqM</v>
      </c>
      <c r="AO195" s="2"/>
      <c r="AP195" s="3"/>
      <c r="AQ195" s="3"/>
      <c r="AR195" s="3"/>
      <c r="AS195" s="3"/>
    </row>
    <row r="196" spans="1:45" ht="15">
      <c r="A196" s="66" t="s">
        <v>400</v>
      </c>
      <c r="B196" s="67"/>
      <c r="C196" s="67"/>
      <c r="D196" s="68"/>
      <c r="E196" s="70"/>
      <c r="F196" s="100" t="str">
        <f>HYPERLINK("https://i.ytimg.com/vi/ogOpzn7pm5E/default.jpg")</f>
        <v>https://i.ytimg.com/vi/ogOpzn7pm5E/default.jpg</v>
      </c>
      <c r="G196" s="67"/>
      <c r="H196" s="71"/>
      <c r="I196" s="72"/>
      <c r="J196" s="72"/>
      <c r="K196" s="71" t="s">
        <v>1437</v>
      </c>
      <c r="L196" s="75"/>
      <c r="M196" s="76">
        <v>4186.14306640625</v>
      </c>
      <c r="N196" s="76">
        <v>940.700927734375</v>
      </c>
      <c r="O196" s="77"/>
      <c r="P196" s="78"/>
      <c r="Q196" s="78"/>
      <c r="R196" s="82"/>
      <c r="S196" s="82"/>
      <c r="T196" s="82"/>
      <c r="U196" s="82"/>
      <c r="V196" s="52"/>
      <c r="W196" s="52"/>
      <c r="X196" s="52"/>
      <c r="Y196" s="52"/>
      <c r="Z196" s="51"/>
      <c r="AA196" s="73">
        <v>196</v>
      </c>
      <c r="AB196" s="73"/>
      <c r="AC196" s="74"/>
      <c r="AD196" s="80" t="s">
        <v>1437</v>
      </c>
      <c r="AE196" s="80" t="s">
        <v>2453</v>
      </c>
      <c r="AF196" s="80" t="s">
        <v>3306</v>
      </c>
      <c r="AG196" s="80" t="s">
        <v>3987</v>
      </c>
      <c r="AH196" s="80" t="s">
        <v>4749</v>
      </c>
      <c r="AI196" s="80">
        <v>9951</v>
      </c>
      <c r="AJ196" s="80">
        <v>0</v>
      </c>
      <c r="AK196" s="80">
        <v>0</v>
      </c>
      <c r="AL196" s="80">
        <v>0</v>
      </c>
      <c r="AM196" s="80" t="s">
        <v>5614</v>
      </c>
      <c r="AN196" s="102" t="str">
        <f>HYPERLINK("https://www.youtube.com/watch?v=ogOpzn7pm5E")</f>
        <v>https://www.youtube.com/watch?v=ogOpzn7pm5E</v>
      </c>
      <c r="AO196" s="2"/>
      <c r="AP196" s="3"/>
      <c r="AQ196" s="3"/>
      <c r="AR196" s="3"/>
      <c r="AS196" s="3"/>
    </row>
    <row r="197" spans="1:45" ht="15">
      <c r="A197" s="66" t="s">
        <v>401</v>
      </c>
      <c r="B197" s="67"/>
      <c r="C197" s="67"/>
      <c r="D197" s="68"/>
      <c r="E197" s="70"/>
      <c r="F197" s="100" t="str">
        <f>HYPERLINK("https://i.ytimg.com/vi/X-Y9sNo52uk/default.jpg")</f>
        <v>https://i.ytimg.com/vi/X-Y9sNo52uk/default.jpg</v>
      </c>
      <c r="G197" s="67"/>
      <c r="H197" s="71"/>
      <c r="I197" s="72"/>
      <c r="J197" s="72"/>
      <c r="K197" s="71" t="s">
        <v>1438</v>
      </c>
      <c r="L197" s="75"/>
      <c r="M197" s="76">
        <v>3830.511474609375</v>
      </c>
      <c r="N197" s="76">
        <v>1281.4532470703125</v>
      </c>
      <c r="O197" s="77"/>
      <c r="P197" s="78"/>
      <c r="Q197" s="78"/>
      <c r="R197" s="82"/>
      <c r="S197" s="82"/>
      <c r="T197" s="82"/>
      <c r="U197" s="82"/>
      <c r="V197" s="52"/>
      <c r="W197" s="52"/>
      <c r="X197" s="52"/>
      <c r="Y197" s="52"/>
      <c r="Z197" s="51"/>
      <c r="AA197" s="73">
        <v>197</v>
      </c>
      <c r="AB197" s="73"/>
      <c r="AC197" s="74"/>
      <c r="AD197" s="80" t="s">
        <v>1438</v>
      </c>
      <c r="AE197" s="80" t="s">
        <v>2454</v>
      </c>
      <c r="AF197" s="80" t="s">
        <v>3307</v>
      </c>
      <c r="AG197" s="80" t="s">
        <v>3998</v>
      </c>
      <c r="AH197" s="80" t="s">
        <v>4750</v>
      </c>
      <c r="AI197" s="80">
        <v>1341</v>
      </c>
      <c r="AJ197" s="80">
        <v>0</v>
      </c>
      <c r="AK197" s="80">
        <v>15</v>
      </c>
      <c r="AL197" s="80">
        <v>2</v>
      </c>
      <c r="AM197" s="80" t="s">
        <v>5614</v>
      </c>
      <c r="AN197" s="102" t="str">
        <f>HYPERLINK("https://www.youtube.com/watch?v=X-Y9sNo52uk")</f>
        <v>https://www.youtube.com/watch?v=X-Y9sNo52uk</v>
      </c>
      <c r="AO197" s="2"/>
      <c r="AP197" s="3"/>
      <c r="AQ197" s="3"/>
      <c r="AR197" s="3"/>
      <c r="AS197" s="3"/>
    </row>
    <row r="198" spans="1:45" ht="15">
      <c r="A198" s="66" t="s">
        <v>402</v>
      </c>
      <c r="B198" s="67"/>
      <c r="C198" s="67"/>
      <c r="D198" s="68"/>
      <c r="E198" s="70"/>
      <c r="F198" s="100" t="str">
        <f>HYPERLINK("https://i.ytimg.com/vi/SQ9wNWG6Bww/default.jpg")</f>
        <v>https://i.ytimg.com/vi/SQ9wNWG6Bww/default.jpg</v>
      </c>
      <c r="G198" s="67"/>
      <c r="H198" s="71"/>
      <c r="I198" s="72"/>
      <c r="J198" s="72"/>
      <c r="K198" s="71" t="s">
        <v>1439</v>
      </c>
      <c r="L198" s="75"/>
      <c r="M198" s="76">
        <v>3963.028076171875</v>
      </c>
      <c r="N198" s="76">
        <v>1078.115478515625</v>
      </c>
      <c r="O198" s="77"/>
      <c r="P198" s="78"/>
      <c r="Q198" s="78"/>
      <c r="R198" s="82"/>
      <c r="S198" s="82"/>
      <c r="T198" s="82"/>
      <c r="U198" s="82"/>
      <c r="V198" s="52"/>
      <c r="W198" s="52"/>
      <c r="X198" s="52"/>
      <c r="Y198" s="52"/>
      <c r="Z198" s="51"/>
      <c r="AA198" s="73">
        <v>198</v>
      </c>
      <c r="AB198" s="73"/>
      <c r="AC198" s="74"/>
      <c r="AD198" s="80" t="s">
        <v>1439</v>
      </c>
      <c r="AE198" s="80" t="s">
        <v>2455</v>
      </c>
      <c r="AF198" s="80" t="s">
        <v>3308</v>
      </c>
      <c r="AG198" s="80" t="s">
        <v>3999</v>
      </c>
      <c r="AH198" s="80" t="s">
        <v>4751</v>
      </c>
      <c r="AI198" s="80">
        <v>2716</v>
      </c>
      <c r="AJ198" s="80">
        <v>1</v>
      </c>
      <c r="AK198" s="80">
        <v>6</v>
      </c>
      <c r="AL198" s="80">
        <v>1</v>
      </c>
      <c r="AM198" s="80" t="s">
        <v>5614</v>
      </c>
      <c r="AN198" s="102" t="str">
        <f>HYPERLINK("https://www.youtube.com/watch?v=SQ9wNWG6Bww")</f>
        <v>https://www.youtube.com/watch?v=SQ9wNWG6Bww</v>
      </c>
      <c r="AO198" s="2"/>
      <c r="AP198" s="3"/>
      <c r="AQ198" s="3"/>
      <c r="AR198" s="3"/>
      <c r="AS198" s="3"/>
    </row>
    <row r="199" spans="1:45" ht="15">
      <c r="A199" s="66" t="s">
        <v>403</v>
      </c>
      <c r="B199" s="67"/>
      <c r="C199" s="67"/>
      <c r="D199" s="68"/>
      <c r="E199" s="70"/>
      <c r="F199" s="100" t="str">
        <f>HYPERLINK("https://i.ytimg.com/vi/LsDVERCW2Xw/default.jpg")</f>
        <v>https://i.ytimg.com/vi/LsDVERCW2Xw/default.jpg</v>
      </c>
      <c r="G199" s="67"/>
      <c r="H199" s="71"/>
      <c r="I199" s="72"/>
      <c r="J199" s="72"/>
      <c r="K199" s="71" t="s">
        <v>1440</v>
      </c>
      <c r="L199" s="75"/>
      <c r="M199" s="76">
        <v>4110.8037109375</v>
      </c>
      <c r="N199" s="76">
        <v>1003.5422973632812</v>
      </c>
      <c r="O199" s="77"/>
      <c r="P199" s="78"/>
      <c r="Q199" s="78"/>
      <c r="R199" s="82"/>
      <c r="S199" s="82"/>
      <c r="T199" s="82"/>
      <c r="U199" s="82"/>
      <c r="V199" s="52"/>
      <c r="W199" s="52"/>
      <c r="X199" s="52"/>
      <c r="Y199" s="52"/>
      <c r="Z199" s="51"/>
      <c r="AA199" s="73">
        <v>199</v>
      </c>
      <c r="AB199" s="73"/>
      <c r="AC199" s="74"/>
      <c r="AD199" s="80" t="s">
        <v>1440</v>
      </c>
      <c r="AE199" s="80" t="s">
        <v>1440</v>
      </c>
      <c r="AF199" s="80" t="s">
        <v>3309</v>
      </c>
      <c r="AG199" s="80" t="s">
        <v>4000</v>
      </c>
      <c r="AH199" s="80" t="s">
        <v>4752</v>
      </c>
      <c r="AI199" s="80">
        <v>132025</v>
      </c>
      <c r="AJ199" s="80">
        <v>0</v>
      </c>
      <c r="AK199" s="80">
        <v>0</v>
      </c>
      <c r="AL199" s="80">
        <v>0</v>
      </c>
      <c r="AM199" s="80" t="s">
        <v>5614</v>
      </c>
      <c r="AN199" s="102" t="str">
        <f>HYPERLINK("https://www.youtube.com/watch?v=LsDVERCW2Xw")</f>
        <v>https://www.youtube.com/watch?v=LsDVERCW2Xw</v>
      </c>
      <c r="AO199" s="2"/>
      <c r="AP199" s="3"/>
      <c r="AQ199" s="3"/>
      <c r="AR199" s="3"/>
      <c r="AS199" s="3"/>
    </row>
    <row r="200" spans="1:45" ht="15">
      <c r="A200" s="66" t="s">
        <v>404</v>
      </c>
      <c r="B200" s="67"/>
      <c r="C200" s="67"/>
      <c r="D200" s="68"/>
      <c r="E200" s="70"/>
      <c r="F200" s="100" t="str">
        <f>HYPERLINK("https://i.ytimg.com/vi/VyBoXSBbCKw/default.jpg")</f>
        <v>https://i.ytimg.com/vi/VyBoXSBbCKw/default.jpg</v>
      </c>
      <c r="G200" s="67"/>
      <c r="H200" s="71"/>
      <c r="I200" s="72"/>
      <c r="J200" s="72"/>
      <c r="K200" s="71" t="s">
        <v>1441</v>
      </c>
      <c r="L200" s="75"/>
      <c r="M200" s="76">
        <v>3789.885009765625</v>
      </c>
      <c r="N200" s="76">
        <v>1169.1649169921875</v>
      </c>
      <c r="O200" s="77"/>
      <c r="P200" s="78"/>
      <c r="Q200" s="78"/>
      <c r="R200" s="82"/>
      <c r="S200" s="82"/>
      <c r="T200" s="82"/>
      <c r="U200" s="82"/>
      <c r="V200" s="52"/>
      <c r="W200" s="52"/>
      <c r="X200" s="52"/>
      <c r="Y200" s="52"/>
      <c r="Z200" s="51"/>
      <c r="AA200" s="73">
        <v>200</v>
      </c>
      <c r="AB200" s="73"/>
      <c r="AC200" s="74"/>
      <c r="AD200" s="80" t="s">
        <v>1441</v>
      </c>
      <c r="AE200" s="80" t="s">
        <v>2456</v>
      </c>
      <c r="AF200" s="80" t="s">
        <v>3310</v>
      </c>
      <c r="AG200" s="80" t="s">
        <v>3987</v>
      </c>
      <c r="AH200" s="80" t="s">
        <v>4753</v>
      </c>
      <c r="AI200" s="80">
        <v>9173</v>
      </c>
      <c r="AJ200" s="80">
        <v>0</v>
      </c>
      <c r="AK200" s="80">
        <v>0</v>
      </c>
      <c r="AL200" s="80">
        <v>0</v>
      </c>
      <c r="AM200" s="80" t="s">
        <v>5614</v>
      </c>
      <c r="AN200" s="102" t="str">
        <f>HYPERLINK("https://www.youtube.com/watch?v=VyBoXSBbCKw")</f>
        <v>https://www.youtube.com/watch?v=VyBoXSBbCKw</v>
      </c>
      <c r="AO200" s="2"/>
      <c r="AP200" s="3"/>
      <c r="AQ200" s="3"/>
      <c r="AR200" s="3"/>
      <c r="AS200" s="3"/>
    </row>
    <row r="201" spans="1:45" ht="15">
      <c r="A201" s="66" t="s">
        <v>405</v>
      </c>
      <c r="B201" s="67"/>
      <c r="C201" s="67"/>
      <c r="D201" s="68"/>
      <c r="E201" s="70"/>
      <c r="F201" s="100" t="str">
        <f>HYPERLINK("https://i.ytimg.com/vi/LUx-XROM3eY/default.jpg")</f>
        <v>https://i.ytimg.com/vi/LUx-XROM3eY/default.jpg</v>
      </c>
      <c r="G201" s="67"/>
      <c r="H201" s="71"/>
      <c r="I201" s="72"/>
      <c r="J201" s="72"/>
      <c r="K201" s="71" t="s">
        <v>1442</v>
      </c>
      <c r="L201" s="75"/>
      <c r="M201" s="76">
        <v>3617.78564453125</v>
      </c>
      <c r="N201" s="76">
        <v>1324.629638671875</v>
      </c>
      <c r="O201" s="77"/>
      <c r="P201" s="78"/>
      <c r="Q201" s="78"/>
      <c r="R201" s="82"/>
      <c r="S201" s="82"/>
      <c r="T201" s="82"/>
      <c r="U201" s="82"/>
      <c r="V201" s="52"/>
      <c r="W201" s="52"/>
      <c r="X201" s="52"/>
      <c r="Y201" s="52"/>
      <c r="Z201" s="51"/>
      <c r="AA201" s="73">
        <v>201</v>
      </c>
      <c r="AB201" s="73"/>
      <c r="AC201" s="74"/>
      <c r="AD201" s="80" t="s">
        <v>1442</v>
      </c>
      <c r="AE201" s="80" t="s">
        <v>2457</v>
      </c>
      <c r="AF201" s="80" t="s">
        <v>3311</v>
      </c>
      <c r="AG201" s="80" t="s">
        <v>3987</v>
      </c>
      <c r="AH201" s="80" t="s">
        <v>4754</v>
      </c>
      <c r="AI201" s="80">
        <v>1823</v>
      </c>
      <c r="AJ201" s="80">
        <v>0</v>
      </c>
      <c r="AK201" s="80">
        <v>0</v>
      </c>
      <c r="AL201" s="80">
        <v>0</v>
      </c>
      <c r="AM201" s="80" t="s">
        <v>5614</v>
      </c>
      <c r="AN201" s="102" t="str">
        <f>HYPERLINK("https://www.youtube.com/watch?v=LUx-XROM3eY")</f>
        <v>https://www.youtube.com/watch?v=LUx-XROM3eY</v>
      </c>
      <c r="AO201" s="2"/>
      <c r="AP201" s="3"/>
      <c r="AQ201" s="3"/>
      <c r="AR201" s="3"/>
      <c r="AS201" s="3"/>
    </row>
    <row r="202" spans="1:45" ht="15">
      <c r="A202" s="66" t="s">
        <v>406</v>
      </c>
      <c r="B202" s="67"/>
      <c r="C202" s="67"/>
      <c r="D202" s="68"/>
      <c r="E202" s="70"/>
      <c r="F202" s="100" t="str">
        <f>HYPERLINK("https://i.ytimg.com/vi/C1Qy9p5JpOI/default.jpg")</f>
        <v>https://i.ytimg.com/vi/C1Qy9p5JpOI/default.jpg</v>
      </c>
      <c r="G202" s="67"/>
      <c r="H202" s="71"/>
      <c r="I202" s="72"/>
      <c r="J202" s="72"/>
      <c r="K202" s="71" t="s">
        <v>1443</v>
      </c>
      <c r="L202" s="75"/>
      <c r="M202" s="76">
        <v>4097.8095703125</v>
      </c>
      <c r="N202" s="76">
        <v>1105.19970703125</v>
      </c>
      <c r="O202" s="77"/>
      <c r="P202" s="78"/>
      <c r="Q202" s="78"/>
      <c r="R202" s="82"/>
      <c r="S202" s="82"/>
      <c r="T202" s="82"/>
      <c r="U202" s="82"/>
      <c r="V202" s="52"/>
      <c r="W202" s="52"/>
      <c r="X202" s="52"/>
      <c r="Y202" s="52"/>
      <c r="Z202" s="51"/>
      <c r="AA202" s="73">
        <v>202</v>
      </c>
      <c r="AB202" s="73"/>
      <c r="AC202" s="74"/>
      <c r="AD202" s="80" t="s">
        <v>1443</v>
      </c>
      <c r="AE202" s="80" t="s">
        <v>2458</v>
      </c>
      <c r="AF202" s="80" t="s">
        <v>3312</v>
      </c>
      <c r="AG202" s="80" t="s">
        <v>4001</v>
      </c>
      <c r="AH202" s="80" t="s">
        <v>4755</v>
      </c>
      <c r="AI202" s="80">
        <v>1132259</v>
      </c>
      <c r="AJ202" s="80">
        <v>911</v>
      </c>
      <c r="AK202" s="80">
        <v>21773</v>
      </c>
      <c r="AL202" s="80">
        <v>692</v>
      </c>
      <c r="AM202" s="80" t="s">
        <v>5614</v>
      </c>
      <c r="AN202" s="102" t="str">
        <f>HYPERLINK("https://www.youtube.com/watch?v=C1Qy9p5JpOI")</f>
        <v>https://www.youtube.com/watch?v=C1Qy9p5JpOI</v>
      </c>
      <c r="AO202" s="2"/>
      <c r="AP202" s="3"/>
      <c r="AQ202" s="3"/>
      <c r="AR202" s="3"/>
      <c r="AS202" s="3"/>
    </row>
    <row r="203" spans="1:45" ht="15">
      <c r="A203" s="66" t="s">
        <v>407</v>
      </c>
      <c r="B203" s="67"/>
      <c r="C203" s="67"/>
      <c r="D203" s="68"/>
      <c r="E203" s="70"/>
      <c r="F203" s="100" t="str">
        <f>HYPERLINK("https://i.ytimg.com/vi/2Anh-qEBb3A/default.jpg")</f>
        <v>https://i.ytimg.com/vi/2Anh-qEBb3A/default.jpg</v>
      </c>
      <c r="G203" s="67"/>
      <c r="H203" s="71"/>
      <c r="I203" s="72"/>
      <c r="J203" s="72"/>
      <c r="K203" s="71" t="s">
        <v>1444</v>
      </c>
      <c r="L203" s="75"/>
      <c r="M203" s="76">
        <v>3892.925048828125</v>
      </c>
      <c r="N203" s="76">
        <v>1169.9337158203125</v>
      </c>
      <c r="O203" s="77"/>
      <c r="P203" s="78"/>
      <c r="Q203" s="78"/>
      <c r="R203" s="82"/>
      <c r="S203" s="82"/>
      <c r="T203" s="82"/>
      <c r="U203" s="82"/>
      <c r="V203" s="52"/>
      <c r="W203" s="52"/>
      <c r="X203" s="52"/>
      <c r="Y203" s="52"/>
      <c r="Z203" s="51"/>
      <c r="AA203" s="73">
        <v>203</v>
      </c>
      <c r="AB203" s="73"/>
      <c r="AC203" s="74"/>
      <c r="AD203" s="80" t="s">
        <v>1444</v>
      </c>
      <c r="AE203" s="80" t="s">
        <v>2459</v>
      </c>
      <c r="AF203" s="80" t="s">
        <v>3313</v>
      </c>
      <c r="AG203" s="80" t="s">
        <v>3987</v>
      </c>
      <c r="AH203" s="80" t="s">
        <v>4756</v>
      </c>
      <c r="AI203" s="80">
        <v>39573</v>
      </c>
      <c r="AJ203" s="80">
        <v>0</v>
      </c>
      <c r="AK203" s="80">
        <v>0</v>
      </c>
      <c r="AL203" s="80">
        <v>0</v>
      </c>
      <c r="AM203" s="80" t="s">
        <v>5614</v>
      </c>
      <c r="AN203" s="102" t="str">
        <f>HYPERLINK("https://www.youtube.com/watch?v=2Anh-qEBb3A")</f>
        <v>https://www.youtube.com/watch?v=2Anh-qEBb3A</v>
      </c>
      <c r="AO203" s="2"/>
      <c r="AP203" s="3"/>
      <c r="AQ203" s="3"/>
      <c r="AR203" s="3"/>
      <c r="AS203" s="3"/>
    </row>
    <row r="204" spans="1:45" ht="15">
      <c r="A204" s="66" t="s">
        <v>408</v>
      </c>
      <c r="B204" s="67"/>
      <c r="C204" s="67"/>
      <c r="D204" s="68"/>
      <c r="E204" s="70"/>
      <c r="F204" s="100" t="str">
        <f>HYPERLINK("https://i.ytimg.com/vi/1RLkzek_yNY/default.jpg")</f>
        <v>https://i.ytimg.com/vi/1RLkzek_yNY/default.jpg</v>
      </c>
      <c r="G204" s="67"/>
      <c r="H204" s="71"/>
      <c r="I204" s="72"/>
      <c r="J204" s="72"/>
      <c r="K204" s="71" t="s">
        <v>1445</v>
      </c>
      <c r="L204" s="75"/>
      <c r="M204" s="76">
        <v>4467.83544921875</v>
      </c>
      <c r="N204" s="76">
        <v>956.9880981445312</v>
      </c>
      <c r="O204" s="77"/>
      <c r="P204" s="78"/>
      <c r="Q204" s="78"/>
      <c r="R204" s="82"/>
      <c r="S204" s="82"/>
      <c r="T204" s="82"/>
      <c r="U204" s="82"/>
      <c r="V204" s="52"/>
      <c r="W204" s="52"/>
      <c r="X204" s="52"/>
      <c r="Y204" s="52"/>
      <c r="Z204" s="51"/>
      <c r="AA204" s="73">
        <v>204</v>
      </c>
      <c r="AB204" s="73"/>
      <c r="AC204" s="74"/>
      <c r="AD204" s="80" t="s">
        <v>1445</v>
      </c>
      <c r="AE204" s="80" t="s">
        <v>2460</v>
      </c>
      <c r="AF204" s="80" t="s">
        <v>3314</v>
      </c>
      <c r="AG204" s="80" t="s">
        <v>4002</v>
      </c>
      <c r="AH204" s="80" t="s">
        <v>4757</v>
      </c>
      <c r="AI204" s="80">
        <v>6770</v>
      </c>
      <c r="AJ204" s="80">
        <v>0</v>
      </c>
      <c r="AK204" s="80">
        <v>55</v>
      </c>
      <c r="AL204" s="80">
        <v>2</v>
      </c>
      <c r="AM204" s="80" t="s">
        <v>5614</v>
      </c>
      <c r="AN204" s="102" t="str">
        <f>HYPERLINK("https://www.youtube.com/watch?v=1RLkzek_yNY")</f>
        <v>https://www.youtube.com/watch?v=1RLkzek_yNY</v>
      </c>
      <c r="AO204" s="2"/>
      <c r="AP204" s="3"/>
      <c r="AQ204" s="3"/>
      <c r="AR204" s="3"/>
      <c r="AS204" s="3"/>
    </row>
    <row r="205" spans="1:45" ht="15">
      <c r="A205" s="66" t="s">
        <v>409</v>
      </c>
      <c r="B205" s="67"/>
      <c r="C205" s="67"/>
      <c r="D205" s="68"/>
      <c r="E205" s="70"/>
      <c r="F205" s="100" t="str">
        <f>HYPERLINK("https://i.ytimg.com/vi/R1727rcXtNs/default.jpg")</f>
        <v>https://i.ytimg.com/vi/R1727rcXtNs/default.jpg</v>
      </c>
      <c r="G205" s="67"/>
      <c r="H205" s="71"/>
      <c r="I205" s="72"/>
      <c r="J205" s="72"/>
      <c r="K205" s="71" t="s">
        <v>1446</v>
      </c>
      <c r="L205" s="75"/>
      <c r="M205" s="76">
        <v>4470.43017578125</v>
      </c>
      <c r="N205" s="76">
        <v>911.5078735351562</v>
      </c>
      <c r="O205" s="77"/>
      <c r="P205" s="78"/>
      <c r="Q205" s="78"/>
      <c r="R205" s="82"/>
      <c r="S205" s="82"/>
      <c r="T205" s="82"/>
      <c r="U205" s="82"/>
      <c r="V205" s="52"/>
      <c r="W205" s="52"/>
      <c r="X205" s="52"/>
      <c r="Y205" s="52"/>
      <c r="Z205" s="51"/>
      <c r="AA205" s="73">
        <v>205</v>
      </c>
      <c r="AB205" s="73"/>
      <c r="AC205" s="74"/>
      <c r="AD205" s="80" t="s">
        <v>1446</v>
      </c>
      <c r="AE205" s="80"/>
      <c r="AF205" s="80"/>
      <c r="AG205" s="80" t="s">
        <v>4003</v>
      </c>
      <c r="AH205" s="80" t="s">
        <v>4758</v>
      </c>
      <c r="AI205" s="80">
        <v>5849</v>
      </c>
      <c r="AJ205" s="80">
        <v>3</v>
      </c>
      <c r="AK205" s="80">
        <v>44</v>
      </c>
      <c r="AL205" s="80">
        <v>10</v>
      </c>
      <c r="AM205" s="80" t="s">
        <v>5614</v>
      </c>
      <c r="AN205" s="102" t="str">
        <f>HYPERLINK("https://www.youtube.com/watch?v=R1727rcXtNs")</f>
        <v>https://www.youtube.com/watch?v=R1727rcXtNs</v>
      </c>
      <c r="AO205" s="2"/>
      <c r="AP205" s="3"/>
      <c r="AQ205" s="3"/>
      <c r="AR205" s="3"/>
      <c r="AS205" s="3"/>
    </row>
    <row r="206" spans="1:45" ht="15">
      <c r="A206" s="66" t="s">
        <v>410</v>
      </c>
      <c r="B206" s="67"/>
      <c r="C206" s="67"/>
      <c r="D206" s="68"/>
      <c r="E206" s="70"/>
      <c r="F206" s="100" t="str">
        <f>HYPERLINK("https://i.ytimg.com/vi/eTfAd9p0Gu4/default.jpg")</f>
        <v>https://i.ytimg.com/vi/eTfAd9p0Gu4/default.jpg</v>
      </c>
      <c r="G206" s="67"/>
      <c r="H206" s="71"/>
      <c r="I206" s="72"/>
      <c r="J206" s="72"/>
      <c r="K206" s="71" t="s">
        <v>1447</v>
      </c>
      <c r="L206" s="75"/>
      <c r="M206" s="76">
        <v>3632.643310546875</v>
      </c>
      <c r="N206" s="76">
        <v>1346.923095703125</v>
      </c>
      <c r="O206" s="77"/>
      <c r="P206" s="78"/>
      <c r="Q206" s="78"/>
      <c r="R206" s="82"/>
      <c r="S206" s="82"/>
      <c r="T206" s="82"/>
      <c r="U206" s="82"/>
      <c r="V206" s="52"/>
      <c r="W206" s="52"/>
      <c r="X206" s="52"/>
      <c r="Y206" s="52"/>
      <c r="Z206" s="51"/>
      <c r="AA206" s="73">
        <v>206</v>
      </c>
      <c r="AB206" s="73"/>
      <c r="AC206" s="74"/>
      <c r="AD206" s="80" t="s">
        <v>1447</v>
      </c>
      <c r="AE206" s="80" t="s">
        <v>2461</v>
      </c>
      <c r="AF206" s="80" t="s">
        <v>3315</v>
      </c>
      <c r="AG206" s="80" t="s">
        <v>3987</v>
      </c>
      <c r="AH206" s="80" t="s">
        <v>4759</v>
      </c>
      <c r="AI206" s="80">
        <v>33659</v>
      </c>
      <c r="AJ206" s="80">
        <v>0</v>
      </c>
      <c r="AK206" s="80">
        <v>0</v>
      </c>
      <c r="AL206" s="80">
        <v>0</v>
      </c>
      <c r="AM206" s="80" t="s">
        <v>5614</v>
      </c>
      <c r="AN206" s="102" t="str">
        <f>HYPERLINK("https://www.youtube.com/watch?v=eTfAd9p0Gu4")</f>
        <v>https://www.youtube.com/watch?v=eTfAd9p0Gu4</v>
      </c>
      <c r="AO206" s="2"/>
      <c r="AP206" s="3"/>
      <c r="AQ206" s="3"/>
      <c r="AR206" s="3"/>
      <c r="AS206" s="3"/>
    </row>
    <row r="207" spans="1:45" ht="15">
      <c r="A207" s="66" t="s">
        <v>411</v>
      </c>
      <c r="B207" s="67"/>
      <c r="C207" s="67"/>
      <c r="D207" s="68"/>
      <c r="E207" s="70"/>
      <c r="F207" s="100" t="str">
        <f>HYPERLINK("https://i.ytimg.com/vi/gWJaLxMvNDA/default.jpg")</f>
        <v>https://i.ytimg.com/vi/gWJaLxMvNDA/default.jpg</v>
      </c>
      <c r="G207" s="67"/>
      <c r="H207" s="71"/>
      <c r="I207" s="72"/>
      <c r="J207" s="72"/>
      <c r="K207" s="71" t="s">
        <v>1448</v>
      </c>
      <c r="L207" s="75"/>
      <c r="M207" s="76">
        <v>4205.25341796875</v>
      </c>
      <c r="N207" s="76">
        <v>998.4505004882812</v>
      </c>
      <c r="O207" s="77"/>
      <c r="P207" s="78"/>
      <c r="Q207" s="78"/>
      <c r="R207" s="82"/>
      <c r="S207" s="82"/>
      <c r="T207" s="82"/>
      <c r="U207" s="82"/>
      <c r="V207" s="52"/>
      <c r="W207" s="52"/>
      <c r="X207" s="52"/>
      <c r="Y207" s="52"/>
      <c r="Z207" s="51"/>
      <c r="AA207" s="73">
        <v>207</v>
      </c>
      <c r="AB207" s="73"/>
      <c r="AC207" s="74"/>
      <c r="AD207" s="80" t="s">
        <v>1448</v>
      </c>
      <c r="AE207" s="80" t="s">
        <v>2462</v>
      </c>
      <c r="AF207" s="80" t="s">
        <v>3316</v>
      </c>
      <c r="AG207" s="80" t="s">
        <v>4004</v>
      </c>
      <c r="AH207" s="80" t="s">
        <v>4760</v>
      </c>
      <c r="AI207" s="80">
        <v>52176</v>
      </c>
      <c r="AJ207" s="80">
        <v>12</v>
      </c>
      <c r="AK207" s="80">
        <v>242</v>
      </c>
      <c r="AL207" s="80">
        <v>8</v>
      </c>
      <c r="AM207" s="80" t="s">
        <v>5614</v>
      </c>
      <c r="AN207" s="102" t="str">
        <f>HYPERLINK("https://www.youtube.com/watch?v=gWJaLxMvNDA")</f>
        <v>https://www.youtube.com/watch?v=gWJaLxMvNDA</v>
      </c>
      <c r="AO207" s="2"/>
      <c r="AP207" s="3"/>
      <c r="AQ207" s="3"/>
      <c r="AR207" s="3"/>
      <c r="AS207" s="3"/>
    </row>
    <row r="208" spans="1:45" ht="15">
      <c r="A208" s="66" t="s">
        <v>412</v>
      </c>
      <c r="B208" s="67"/>
      <c r="C208" s="67"/>
      <c r="D208" s="68"/>
      <c r="E208" s="70"/>
      <c r="F208" s="100" t="str">
        <f>HYPERLINK("https://i.ytimg.com/vi/mI4alxwAltc/default.jpg")</f>
        <v>https://i.ytimg.com/vi/mI4alxwAltc/default.jpg</v>
      </c>
      <c r="G208" s="67"/>
      <c r="H208" s="71"/>
      <c r="I208" s="72"/>
      <c r="J208" s="72"/>
      <c r="K208" s="71" t="s">
        <v>1449</v>
      </c>
      <c r="L208" s="75"/>
      <c r="M208" s="76">
        <v>3796.7783203125</v>
      </c>
      <c r="N208" s="76">
        <v>1164.2071533203125</v>
      </c>
      <c r="O208" s="77"/>
      <c r="P208" s="78"/>
      <c r="Q208" s="78"/>
      <c r="R208" s="82"/>
      <c r="S208" s="82"/>
      <c r="T208" s="82"/>
      <c r="U208" s="82"/>
      <c r="V208" s="52"/>
      <c r="W208" s="52"/>
      <c r="X208" s="52"/>
      <c r="Y208" s="52"/>
      <c r="Z208" s="51"/>
      <c r="AA208" s="73">
        <v>208</v>
      </c>
      <c r="AB208" s="73"/>
      <c r="AC208" s="74"/>
      <c r="AD208" s="80" t="s">
        <v>1449</v>
      </c>
      <c r="AE208" s="80" t="s">
        <v>2463</v>
      </c>
      <c r="AF208" s="80" t="s">
        <v>3317</v>
      </c>
      <c r="AG208" s="80" t="s">
        <v>3317</v>
      </c>
      <c r="AH208" s="80" t="s">
        <v>4761</v>
      </c>
      <c r="AI208" s="80">
        <v>4017</v>
      </c>
      <c r="AJ208" s="80">
        <v>0</v>
      </c>
      <c r="AK208" s="80">
        <v>19</v>
      </c>
      <c r="AL208" s="80">
        <v>4</v>
      </c>
      <c r="AM208" s="80" t="s">
        <v>5614</v>
      </c>
      <c r="AN208" s="102" t="str">
        <f>HYPERLINK("https://www.youtube.com/watch?v=mI4alxwAltc")</f>
        <v>https://www.youtube.com/watch?v=mI4alxwAltc</v>
      </c>
      <c r="AO208" s="2"/>
      <c r="AP208" s="3"/>
      <c r="AQ208" s="3"/>
      <c r="AR208" s="3"/>
      <c r="AS208" s="3"/>
    </row>
    <row r="209" spans="1:45" ht="15">
      <c r="A209" s="66" t="s">
        <v>189</v>
      </c>
      <c r="B209" s="67"/>
      <c r="C209" s="67"/>
      <c r="D209" s="68"/>
      <c r="E209" s="70"/>
      <c r="F209" s="100" t="str">
        <f>HYPERLINK("https://i.ytimg.com/vi/zT_lVyPWxvg/default.jpg")</f>
        <v>https://i.ytimg.com/vi/zT_lVyPWxvg/default.jpg</v>
      </c>
      <c r="G209" s="67"/>
      <c r="H209" s="71"/>
      <c r="I209" s="72"/>
      <c r="J209" s="72"/>
      <c r="K209" s="71" t="s">
        <v>1374</v>
      </c>
      <c r="L209" s="75"/>
      <c r="M209" s="76">
        <v>4211.97119140625</v>
      </c>
      <c r="N209" s="76">
        <v>4914.04443359375</v>
      </c>
      <c r="O209" s="77"/>
      <c r="P209" s="78"/>
      <c r="Q209" s="78"/>
      <c r="R209" s="82"/>
      <c r="S209" s="82"/>
      <c r="T209" s="82"/>
      <c r="U209" s="82"/>
      <c r="V209" s="52"/>
      <c r="W209" s="52"/>
      <c r="X209" s="52"/>
      <c r="Y209" s="52"/>
      <c r="Z209" s="51"/>
      <c r="AA209" s="73">
        <v>209</v>
      </c>
      <c r="AB209" s="73"/>
      <c r="AC209" s="74"/>
      <c r="AD209" s="80" t="s">
        <v>1374</v>
      </c>
      <c r="AE209" s="80"/>
      <c r="AF209" s="80"/>
      <c r="AG209" s="80" t="s">
        <v>4005</v>
      </c>
      <c r="AH209" s="80" t="s">
        <v>4762</v>
      </c>
      <c r="AI209" s="80">
        <v>105</v>
      </c>
      <c r="AJ209" s="80">
        <v>0</v>
      </c>
      <c r="AK209" s="80">
        <v>1</v>
      </c>
      <c r="AL209" s="80">
        <v>4</v>
      </c>
      <c r="AM209" s="80" t="s">
        <v>5614</v>
      </c>
      <c r="AN209" s="102" t="str">
        <f>HYPERLINK("https://www.youtube.com/watch?v=zT_lVyPWxvg")</f>
        <v>https://www.youtube.com/watch?v=zT_lVyPWxvg</v>
      </c>
      <c r="AO209" s="2"/>
      <c r="AP209" s="3"/>
      <c r="AQ209" s="3"/>
      <c r="AR209" s="3"/>
      <c r="AS209" s="3"/>
    </row>
    <row r="210" spans="1:45" ht="15">
      <c r="A210" s="66" t="s">
        <v>215</v>
      </c>
      <c r="B210" s="67"/>
      <c r="C210" s="67"/>
      <c r="D210" s="68"/>
      <c r="E210" s="70"/>
      <c r="F210" s="100" t="str">
        <f>HYPERLINK("https://i.ytimg.com/vi/z436iOgX1io/default.jpg")</f>
        <v>https://i.ytimg.com/vi/z436iOgX1io/default.jpg</v>
      </c>
      <c r="G210" s="67"/>
      <c r="H210" s="71"/>
      <c r="I210" s="72"/>
      <c r="J210" s="72"/>
      <c r="K210" s="71" t="s">
        <v>1450</v>
      </c>
      <c r="L210" s="75"/>
      <c r="M210" s="76">
        <v>4621.92041015625</v>
      </c>
      <c r="N210" s="76">
        <v>3806.7958984375</v>
      </c>
      <c r="O210" s="77"/>
      <c r="P210" s="78"/>
      <c r="Q210" s="78"/>
      <c r="R210" s="82"/>
      <c r="S210" s="82"/>
      <c r="T210" s="82"/>
      <c r="U210" s="82"/>
      <c r="V210" s="52"/>
      <c r="W210" s="52"/>
      <c r="X210" s="52"/>
      <c r="Y210" s="52"/>
      <c r="Z210" s="51"/>
      <c r="AA210" s="73">
        <v>210</v>
      </c>
      <c r="AB210" s="73"/>
      <c r="AC210" s="74"/>
      <c r="AD210" s="80" t="s">
        <v>1450</v>
      </c>
      <c r="AE210" s="80" t="s">
        <v>2464</v>
      </c>
      <c r="AF210" s="80" t="s">
        <v>3318</v>
      </c>
      <c r="AG210" s="80" t="s">
        <v>4006</v>
      </c>
      <c r="AH210" s="80" t="s">
        <v>4763</v>
      </c>
      <c r="AI210" s="80">
        <v>1317</v>
      </c>
      <c r="AJ210" s="80">
        <v>2</v>
      </c>
      <c r="AK210" s="80">
        <v>12</v>
      </c>
      <c r="AL210" s="80">
        <v>1</v>
      </c>
      <c r="AM210" s="80" t="s">
        <v>5614</v>
      </c>
      <c r="AN210" s="102" t="str">
        <f>HYPERLINK("https://www.youtube.com/watch?v=z436iOgX1io")</f>
        <v>https://www.youtube.com/watch?v=z436iOgX1io</v>
      </c>
      <c r="AO210" s="2"/>
      <c r="AP210" s="3"/>
      <c r="AQ210" s="3"/>
      <c r="AR210" s="3"/>
      <c r="AS210" s="3"/>
    </row>
    <row r="211" spans="1:45" ht="15">
      <c r="A211" s="66" t="s">
        <v>190</v>
      </c>
      <c r="B211" s="67"/>
      <c r="C211" s="67"/>
      <c r="D211" s="68"/>
      <c r="E211" s="70"/>
      <c r="F211" s="100" t="str">
        <f>HYPERLINK("https://i.ytimg.com/vi/SxcCka_b0vA/default.jpg")</f>
        <v>https://i.ytimg.com/vi/SxcCka_b0vA/default.jpg</v>
      </c>
      <c r="G211" s="67"/>
      <c r="H211" s="71"/>
      <c r="I211" s="72"/>
      <c r="J211" s="72"/>
      <c r="K211" s="71" t="s">
        <v>1451</v>
      </c>
      <c r="L211" s="75"/>
      <c r="M211" s="76">
        <v>4930.2412109375</v>
      </c>
      <c r="N211" s="76">
        <v>3655.9130859375</v>
      </c>
      <c r="O211" s="77"/>
      <c r="P211" s="78"/>
      <c r="Q211" s="78"/>
      <c r="R211" s="82"/>
      <c r="S211" s="82"/>
      <c r="T211" s="82"/>
      <c r="U211" s="82"/>
      <c r="V211" s="52"/>
      <c r="W211" s="52"/>
      <c r="X211" s="52"/>
      <c r="Y211" s="52"/>
      <c r="Z211" s="51"/>
      <c r="AA211" s="73">
        <v>211</v>
      </c>
      <c r="AB211" s="73"/>
      <c r="AC211" s="74"/>
      <c r="AD211" s="80" t="s">
        <v>1451</v>
      </c>
      <c r="AE211" s="80" t="s">
        <v>2465</v>
      </c>
      <c r="AF211" s="80" t="s">
        <v>3319</v>
      </c>
      <c r="AG211" s="80" t="s">
        <v>3929</v>
      </c>
      <c r="AH211" s="80" t="s">
        <v>4764</v>
      </c>
      <c r="AI211" s="80">
        <v>193</v>
      </c>
      <c r="AJ211" s="80">
        <v>0</v>
      </c>
      <c r="AK211" s="80">
        <v>2</v>
      </c>
      <c r="AL211" s="80">
        <v>0</v>
      </c>
      <c r="AM211" s="80" t="s">
        <v>5614</v>
      </c>
      <c r="AN211" s="102" t="str">
        <f>HYPERLINK("https://www.youtube.com/watch?v=SxcCka_b0vA")</f>
        <v>https://www.youtube.com/watch?v=SxcCka_b0vA</v>
      </c>
      <c r="AO211" s="2"/>
      <c r="AP211" s="3"/>
      <c r="AQ211" s="3"/>
      <c r="AR211" s="3"/>
      <c r="AS211" s="3"/>
    </row>
    <row r="212" spans="1:45" ht="15">
      <c r="A212" s="66" t="s">
        <v>413</v>
      </c>
      <c r="B212" s="67"/>
      <c r="C212" s="67"/>
      <c r="D212" s="68"/>
      <c r="E212" s="70"/>
      <c r="F212" s="100" t="str">
        <f>HYPERLINK("https://i.ytimg.com/vi/M8vP5H4J2z4/default.jpg")</f>
        <v>https://i.ytimg.com/vi/M8vP5H4J2z4/default.jpg</v>
      </c>
      <c r="G212" s="67"/>
      <c r="H212" s="71"/>
      <c r="I212" s="72"/>
      <c r="J212" s="72"/>
      <c r="K212" s="71" t="s">
        <v>1452</v>
      </c>
      <c r="L212" s="75"/>
      <c r="M212" s="76">
        <v>3015.539794921875</v>
      </c>
      <c r="N212" s="76">
        <v>2941.019775390625</v>
      </c>
      <c r="O212" s="77"/>
      <c r="P212" s="78"/>
      <c r="Q212" s="78"/>
      <c r="R212" s="82"/>
      <c r="S212" s="82"/>
      <c r="T212" s="82"/>
      <c r="U212" s="82"/>
      <c r="V212" s="52"/>
      <c r="W212" s="52"/>
      <c r="X212" s="52"/>
      <c r="Y212" s="52"/>
      <c r="Z212" s="51"/>
      <c r="AA212" s="73">
        <v>212</v>
      </c>
      <c r="AB212" s="73"/>
      <c r="AC212" s="74"/>
      <c r="AD212" s="80" t="s">
        <v>1452</v>
      </c>
      <c r="AE212" s="80" t="s">
        <v>1452</v>
      </c>
      <c r="AF212" s="80"/>
      <c r="AG212" s="80" t="s">
        <v>4007</v>
      </c>
      <c r="AH212" s="80" t="s">
        <v>4765</v>
      </c>
      <c r="AI212" s="80">
        <v>116</v>
      </c>
      <c r="AJ212" s="80">
        <v>0</v>
      </c>
      <c r="AK212" s="80">
        <v>1</v>
      </c>
      <c r="AL212" s="80">
        <v>0</v>
      </c>
      <c r="AM212" s="80" t="s">
        <v>5614</v>
      </c>
      <c r="AN212" s="102" t="str">
        <f>HYPERLINK("https://www.youtube.com/watch?v=M8vP5H4J2z4")</f>
        <v>https://www.youtube.com/watch?v=M8vP5H4J2z4</v>
      </c>
      <c r="AO212" s="2"/>
      <c r="AP212" s="3"/>
      <c r="AQ212" s="3"/>
      <c r="AR212" s="3"/>
      <c r="AS212" s="3"/>
    </row>
    <row r="213" spans="1:45" ht="15">
      <c r="A213" s="66" t="s">
        <v>414</v>
      </c>
      <c r="B213" s="67"/>
      <c r="C213" s="67"/>
      <c r="D213" s="68"/>
      <c r="E213" s="70"/>
      <c r="F213" s="100" t="str">
        <f>HYPERLINK("https://i.ytimg.com/vi/nQV25GfzDdM/default.jpg")</f>
        <v>https://i.ytimg.com/vi/nQV25GfzDdM/default.jpg</v>
      </c>
      <c r="G213" s="67"/>
      <c r="H213" s="71"/>
      <c r="I213" s="72"/>
      <c r="J213" s="72"/>
      <c r="K213" s="71" t="s">
        <v>1453</v>
      </c>
      <c r="L213" s="75"/>
      <c r="M213" s="76">
        <v>2989.471435546875</v>
      </c>
      <c r="N213" s="76">
        <v>3467.822998046875</v>
      </c>
      <c r="O213" s="77"/>
      <c r="P213" s="78"/>
      <c r="Q213" s="78"/>
      <c r="R213" s="82"/>
      <c r="S213" s="82"/>
      <c r="T213" s="82"/>
      <c r="U213" s="82"/>
      <c r="V213" s="52"/>
      <c r="W213" s="52"/>
      <c r="X213" s="52"/>
      <c r="Y213" s="52"/>
      <c r="Z213" s="51"/>
      <c r="AA213" s="73">
        <v>213</v>
      </c>
      <c r="AB213" s="73"/>
      <c r="AC213" s="74"/>
      <c r="AD213" s="80" t="s">
        <v>1453</v>
      </c>
      <c r="AE213" s="80"/>
      <c r="AF213" s="80" t="s">
        <v>3320</v>
      </c>
      <c r="AG213" s="80" t="s">
        <v>4008</v>
      </c>
      <c r="AH213" s="80" t="s">
        <v>4766</v>
      </c>
      <c r="AI213" s="80">
        <v>9266</v>
      </c>
      <c r="AJ213" s="80">
        <v>0</v>
      </c>
      <c r="AK213" s="80">
        <v>9</v>
      </c>
      <c r="AL213" s="80">
        <v>2</v>
      </c>
      <c r="AM213" s="80" t="s">
        <v>5614</v>
      </c>
      <c r="AN213" s="102" t="str">
        <f>HYPERLINK("https://www.youtube.com/watch?v=nQV25GfzDdM")</f>
        <v>https://www.youtube.com/watch?v=nQV25GfzDdM</v>
      </c>
      <c r="AO213" s="2"/>
      <c r="AP213" s="3"/>
      <c r="AQ213" s="3"/>
      <c r="AR213" s="3"/>
      <c r="AS213" s="3"/>
    </row>
    <row r="214" spans="1:45" ht="15">
      <c r="A214" s="66" t="s">
        <v>415</v>
      </c>
      <c r="B214" s="67"/>
      <c r="C214" s="67"/>
      <c r="D214" s="68"/>
      <c r="E214" s="70"/>
      <c r="F214" s="100" t="str">
        <f>HYPERLINK("https://i.ytimg.com/vi/JoeXoIGSDHQ/default.jpg")</f>
        <v>https://i.ytimg.com/vi/JoeXoIGSDHQ/default.jpg</v>
      </c>
      <c r="G214" s="67"/>
      <c r="H214" s="71"/>
      <c r="I214" s="72"/>
      <c r="J214" s="72"/>
      <c r="K214" s="71" t="s">
        <v>1454</v>
      </c>
      <c r="L214" s="75"/>
      <c r="M214" s="76">
        <v>3027.479248046875</v>
      </c>
      <c r="N214" s="76">
        <v>3058.79443359375</v>
      </c>
      <c r="O214" s="77"/>
      <c r="P214" s="78"/>
      <c r="Q214" s="78"/>
      <c r="R214" s="82"/>
      <c r="S214" s="82"/>
      <c r="T214" s="82"/>
      <c r="U214" s="82"/>
      <c r="V214" s="52"/>
      <c r="W214" s="52"/>
      <c r="X214" s="52"/>
      <c r="Y214" s="52"/>
      <c r="Z214" s="51"/>
      <c r="AA214" s="73">
        <v>214</v>
      </c>
      <c r="AB214" s="73"/>
      <c r="AC214" s="74"/>
      <c r="AD214" s="80" t="s">
        <v>1454</v>
      </c>
      <c r="AE214" s="80" t="s">
        <v>2466</v>
      </c>
      <c r="AF214" s="80" t="s">
        <v>3321</v>
      </c>
      <c r="AG214" s="80" t="s">
        <v>4009</v>
      </c>
      <c r="AH214" s="80" t="s">
        <v>4767</v>
      </c>
      <c r="AI214" s="80">
        <v>41184</v>
      </c>
      <c r="AJ214" s="80">
        <v>56</v>
      </c>
      <c r="AK214" s="80">
        <v>424</v>
      </c>
      <c r="AL214" s="80">
        <v>75</v>
      </c>
      <c r="AM214" s="80" t="s">
        <v>5614</v>
      </c>
      <c r="AN214" s="102" t="str">
        <f>HYPERLINK("https://www.youtube.com/watch?v=JoeXoIGSDHQ")</f>
        <v>https://www.youtube.com/watch?v=JoeXoIGSDHQ</v>
      </c>
      <c r="AO214" s="2"/>
      <c r="AP214" s="3"/>
      <c r="AQ214" s="3"/>
      <c r="AR214" s="3"/>
      <c r="AS214" s="3"/>
    </row>
    <row r="215" spans="1:45" ht="15">
      <c r="A215" s="66" t="s">
        <v>416</v>
      </c>
      <c r="B215" s="67"/>
      <c r="C215" s="67"/>
      <c r="D215" s="68"/>
      <c r="E215" s="70"/>
      <c r="F215" s="100" t="str">
        <f>HYPERLINK("https://i.ytimg.com/vi/Czz3jNKQzIY/default.jpg")</f>
        <v>https://i.ytimg.com/vi/Czz3jNKQzIY/default.jpg</v>
      </c>
      <c r="G215" s="67"/>
      <c r="H215" s="71"/>
      <c r="I215" s="72"/>
      <c r="J215" s="72"/>
      <c r="K215" s="71" t="s">
        <v>1455</v>
      </c>
      <c r="L215" s="75"/>
      <c r="M215" s="76">
        <v>2880.372802734375</v>
      </c>
      <c r="N215" s="76">
        <v>3512.491943359375</v>
      </c>
      <c r="O215" s="77"/>
      <c r="P215" s="78"/>
      <c r="Q215" s="78"/>
      <c r="R215" s="82"/>
      <c r="S215" s="82"/>
      <c r="T215" s="82"/>
      <c r="U215" s="82"/>
      <c r="V215" s="52"/>
      <c r="W215" s="52"/>
      <c r="X215" s="52"/>
      <c r="Y215" s="52"/>
      <c r="Z215" s="51"/>
      <c r="AA215" s="73">
        <v>215</v>
      </c>
      <c r="AB215" s="73"/>
      <c r="AC215" s="74"/>
      <c r="AD215" s="80" t="s">
        <v>1455</v>
      </c>
      <c r="AE215" s="80" t="s">
        <v>2467</v>
      </c>
      <c r="AF215" s="80" t="s">
        <v>3322</v>
      </c>
      <c r="AG215" s="80" t="s">
        <v>4010</v>
      </c>
      <c r="AH215" s="80" t="s">
        <v>4768</v>
      </c>
      <c r="AI215" s="80">
        <v>652714</v>
      </c>
      <c r="AJ215" s="80">
        <v>139</v>
      </c>
      <c r="AK215" s="80">
        <v>1020</v>
      </c>
      <c r="AL215" s="80">
        <v>175</v>
      </c>
      <c r="AM215" s="80" t="s">
        <v>5614</v>
      </c>
      <c r="AN215" s="102" t="str">
        <f>HYPERLINK("https://www.youtube.com/watch?v=Czz3jNKQzIY")</f>
        <v>https://www.youtube.com/watch?v=Czz3jNKQzIY</v>
      </c>
      <c r="AO215" s="2"/>
      <c r="AP215" s="3"/>
      <c r="AQ215" s="3"/>
      <c r="AR215" s="3"/>
      <c r="AS215" s="3"/>
    </row>
    <row r="216" spans="1:45" ht="15">
      <c r="A216" s="66" t="s">
        <v>417</v>
      </c>
      <c r="B216" s="67"/>
      <c r="C216" s="67"/>
      <c r="D216" s="68"/>
      <c r="E216" s="70"/>
      <c r="F216" s="100" t="str">
        <f>HYPERLINK("https://i.ytimg.com/vi/cvbpOa9ZZZA/default.jpg")</f>
        <v>https://i.ytimg.com/vi/cvbpOa9ZZZA/default.jpg</v>
      </c>
      <c r="G216" s="67"/>
      <c r="H216" s="71"/>
      <c r="I216" s="72"/>
      <c r="J216" s="72"/>
      <c r="K216" s="71" t="s">
        <v>1456</v>
      </c>
      <c r="L216" s="75"/>
      <c r="M216" s="76">
        <v>2922.0009765625</v>
      </c>
      <c r="N216" s="76">
        <v>3173.340576171875</v>
      </c>
      <c r="O216" s="77"/>
      <c r="P216" s="78"/>
      <c r="Q216" s="78"/>
      <c r="R216" s="82"/>
      <c r="S216" s="82"/>
      <c r="T216" s="82"/>
      <c r="U216" s="82"/>
      <c r="V216" s="52"/>
      <c r="W216" s="52"/>
      <c r="X216" s="52"/>
      <c r="Y216" s="52"/>
      <c r="Z216" s="51"/>
      <c r="AA216" s="73">
        <v>216</v>
      </c>
      <c r="AB216" s="73"/>
      <c r="AC216" s="74"/>
      <c r="AD216" s="80" t="s">
        <v>1456</v>
      </c>
      <c r="AE216" s="80" t="s">
        <v>2468</v>
      </c>
      <c r="AF216" s="80" t="s">
        <v>3323</v>
      </c>
      <c r="AG216" s="80" t="s">
        <v>4011</v>
      </c>
      <c r="AH216" s="80" t="s">
        <v>4769</v>
      </c>
      <c r="AI216" s="80">
        <v>10615072</v>
      </c>
      <c r="AJ216" s="80">
        <v>15469</v>
      </c>
      <c r="AK216" s="80">
        <v>398555</v>
      </c>
      <c r="AL216" s="80">
        <v>7996</v>
      </c>
      <c r="AM216" s="80" t="s">
        <v>5614</v>
      </c>
      <c r="AN216" s="102" t="str">
        <f>HYPERLINK("https://www.youtube.com/watch?v=cvbpOa9ZZZA")</f>
        <v>https://www.youtube.com/watch?v=cvbpOa9ZZZA</v>
      </c>
      <c r="AO216" s="2"/>
      <c r="AP216" s="3"/>
      <c r="AQ216" s="3"/>
      <c r="AR216" s="3"/>
      <c r="AS216" s="3"/>
    </row>
    <row r="217" spans="1:45" ht="15">
      <c r="A217" s="66" t="s">
        <v>418</v>
      </c>
      <c r="B217" s="67"/>
      <c r="C217" s="67"/>
      <c r="D217" s="68"/>
      <c r="E217" s="70"/>
      <c r="F217" s="100" t="str">
        <f>HYPERLINK("https://i.ytimg.com/vi/Hx8V7RSKaYM/default.jpg")</f>
        <v>https://i.ytimg.com/vi/Hx8V7RSKaYM/default.jpg</v>
      </c>
      <c r="G217" s="67"/>
      <c r="H217" s="71"/>
      <c r="I217" s="72"/>
      <c r="J217" s="72"/>
      <c r="K217" s="71" t="s">
        <v>1457</v>
      </c>
      <c r="L217" s="75"/>
      <c r="M217" s="76">
        <v>3823.40185546875</v>
      </c>
      <c r="N217" s="76">
        <v>3417.341552734375</v>
      </c>
      <c r="O217" s="77"/>
      <c r="P217" s="78"/>
      <c r="Q217" s="78"/>
      <c r="R217" s="82"/>
      <c r="S217" s="82"/>
      <c r="T217" s="82"/>
      <c r="U217" s="82"/>
      <c r="V217" s="52"/>
      <c r="W217" s="52"/>
      <c r="X217" s="52"/>
      <c r="Y217" s="52"/>
      <c r="Z217" s="51"/>
      <c r="AA217" s="73">
        <v>217</v>
      </c>
      <c r="AB217" s="73"/>
      <c r="AC217" s="74"/>
      <c r="AD217" s="80" t="s">
        <v>1457</v>
      </c>
      <c r="AE217" s="80" t="s">
        <v>2469</v>
      </c>
      <c r="AF217" s="80"/>
      <c r="AG217" s="80" t="s">
        <v>3929</v>
      </c>
      <c r="AH217" s="80" t="s">
        <v>4770</v>
      </c>
      <c r="AI217" s="80">
        <v>52</v>
      </c>
      <c r="AJ217" s="80">
        <v>0</v>
      </c>
      <c r="AK217" s="80">
        <v>2</v>
      </c>
      <c r="AL217" s="80">
        <v>0</v>
      </c>
      <c r="AM217" s="80" t="s">
        <v>5614</v>
      </c>
      <c r="AN217" s="102" t="str">
        <f>HYPERLINK("https://www.youtube.com/watch?v=Hx8V7RSKaYM")</f>
        <v>https://www.youtube.com/watch?v=Hx8V7RSKaYM</v>
      </c>
      <c r="AO217" s="2"/>
      <c r="AP217" s="3"/>
      <c r="AQ217" s="3"/>
      <c r="AR217" s="3"/>
      <c r="AS217" s="3"/>
    </row>
    <row r="218" spans="1:45" ht="15">
      <c r="A218" s="66" t="s">
        <v>419</v>
      </c>
      <c r="B218" s="67"/>
      <c r="C218" s="67"/>
      <c r="D218" s="68"/>
      <c r="E218" s="70"/>
      <c r="F218" s="100" t="str">
        <f>HYPERLINK("https://i.ytimg.com/vi/gR9JRur9hM0/default.jpg")</f>
        <v>https://i.ytimg.com/vi/gR9JRur9hM0/default.jpg</v>
      </c>
      <c r="G218" s="67"/>
      <c r="H218" s="71"/>
      <c r="I218" s="72"/>
      <c r="J218" s="72"/>
      <c r="K218" s="71" t="s">
        <v>1458</v>
      </c>
      <c r="L218" s="75"/>
      <c r="M218" s="76">
        <v>2964.395263671875</v>
      </c>
      <c r="N218" s="76">
        <v>3602.078857421875</v>
      </c>
      <c r="O218" s="77"/>
      <c r="P218" s="78"/>
      <c r="Q218" s="78"/>
      <c r="R218" s="82"/>
      <c r="S218" s="82"/>
      <c r="T218" s="82"/>
      <c r="U218" s="82"/>
      <c r="V218" s="52"/>
      <c r="W218" s="52"/>
      <c r="X218" s="52"/>
      <c r="Y218" s="52"/>
      <c r="Z218" s="51"/>
      <c r="AA218" s="73">
        <v>218</v>
      </c>
      <c r="AB218" s="73"/>
      <c r="AC218" s="74"/>
      <c r="AD218" s="80" t="s">
        <v>1458</v>
      </c>
      <c r="AE218" s="80"/>
      <c r="AF218" s="80" t="s">
        <v>3324</v>
      </c>
      <c r="AG218" s="80" t="s">
        <v>4012</v>
      </c>
      <c r="AH218" s="80" t="s">
        <v>4771</v>
      </c>
      <c r="AI218" s="80">
        <v>41316</v>
      </c>
      <c r="AJ218" s="80">
        <v>7</v>
      </c>
      <c r="AK218" s="80">
        <v>313</v>
      </c>
      <c r="AL218" s="80">
        <v>25</v>
      </c>
      <c r="AM218" s="80" t="s">
        <v>5614</v>
      </c>
      <c r="AN218" s="102" t="str">
        <f>HYPERLINK("https://www.youtube.com/watch?v=gR9JRur9hM0")</f>
        <v>https://www.youtube.com/watch?v=gR9JRur9hM0</v>
      </c>
      <c r="AO218" s="2"/>
      <c r="AP218" s="3"/>
      <c r="AQ218" s="3"/>
      <c r="AR218" s="3"/>
      <c r="AS218" s="3"/>
    </row>
    <row r="219" spans="1:45" ht="15">
      <c r="A219" s="66" t="s">
        <v>420</v>
      </c>
      <c r="B219" s="67"/>
      <c r="C219" s="67"/>
      <c r="D219" s="68"/>
      <c r="E219" s="70"/>
      <c r="F219" s="100" t="str">
        <f>HYPERLINK("https://i.ytimg.com/vi/0twYxyX7bgU/default.jpg")</f>
        <v>https://i.ytimg.com/vi/0twYxyX7bgU/default.jpg</v>
      </c>
      <c r="G219" s="67"/>
      <c r="H219" s="71"/>
      <c r="I219" s="72"/>
      <c r="J219" s="72"/>
      <c r="K219" s="71" t="s">
        <v>1459</v>
      </c>
      <c r="L219" s="75"/>
      <c r="M219" s="76">
        <v>3786.285888671875</v>
      </c>
      <c r="N219" s="76">
        <v>3649.08154296875</v>
      </c>
      <c r="O219" s="77"/>
      <c r="P219" s="78"/>
      <c r="Q219" s="78"/>
      <c r="R219" s="82"/>
      <c r="S219" s="82"/>
      <c r="T219" s="82"/>
      <c r="U219" s="82"/>
      <c r="V219" s="52"/>
      <c r="W219" s="52"/>
      <c r="X219" s="52"/>
      <c r="Y219" s="52"/>
      <c r="Z219" s="51"/>
      <c r="AA219" s="73">
        <v>219</v>
      </c>
      <c r="AB219" s="73"/>
      <c r="AC219" s="74"/>
      <c r="AD219" s="80" t="s">
        <v>1459</v>
      </c>
      <c r="AE219" s="80" t="s">
        <v>2470</v>
      </c>
      <c r="AF219" s="80"/>
      <c r="AG219" s="80" t="s">
        <v>3929</v>
      </c>
      <c r="AH219" s="80" t="s">
        <v>4772</v>
      </c>
      <c r="AI219" s="80">
        <v>71</v>
      </c>
      <c r="AJ219" s="80">
        <v>0</v>
      </c>
      <c r="AK219" s="80">
        <v>2</v>
      </c>
      <c r="AL219" s="80">
        <v>0</v>
      </c>
      <c r="AM219" s="80" t="s">
        <v>5614</v>
      </c>
      <c r="AN219" s="102" t="str">
        <f>HYPERLINK("https://www.youtube.com/watch?v=0twYxyX7bgU")</f>
        <v>https://www.youtube.com/watch?v=0twYxyX7bgU</v>
      </c>
      <c r="AO219" s="2"/>
      <c r="AP219" s="3"/>
      <c r="AQ219" s="3"/>
      <c r="AR219" s="3"/>
      <c r="AS219" s="3"/>
    </row>
    <row r="220" spans="1:45" ht="15">
      <c r="A220" s="66" t="s">
        <v>421</v>
      </c>
      <c r="B220" s="67"/>
      <c r="C220" s="67"/>
      <c r="D220" s="68"/>
      <c r="E220" s="70"/>
      <c r="F220" s="100" t="str">
        <f>HYPERLINK("https://i.ytimg.com/vi/VcjxcFqi8U4/default.jpg")</f>
        <v>https://i.ytimg.com/vi/VcjxcFqi8U4/default.jpg</v>
      </c>
      <c r="G220" s="67"/>
      <c r="H220" s="71"/>
      <c r="I220" s="72"/>
      <c r="J220" s="72"/>
      <c r="K220" s="71" t="s">
        <v>1460</v>
      </c>
      <c r="L220" s="75"/>
      <c r="M220" s="76">
        <v>3004.819580078125</v>
      </c>
      <c r="N220" s="76">
        <v>3308.612060546875</v>
      </c>
      <c r="O220" s="77"/>
      <c r="P220" s="78"/>
      <c r="Q220" s="78"/>
      <c r="R220" s="82"/>
      <c r="S220" s="82"/>
      <c r="T220" s="82"/>
      <c r="U220" s="82"/>
      <c r="V220" s="52"/>
      <c r="W220" s="52"/>
      <c r="X220" s="52"/>
      <c r="Y220" s="52"/>
      <c r="Z220" s="51"/>
      <c r="AA220" s="73">
        <v>220</v>
      </c>
      <c r="AB220" s="73"/>
      <c r="AC220" s="74"/>
      <c r="AD220" s="80" t="s">
        <v>1460</v>
      </c>
      <c r="AE220" s="80" t="s">
        <v>2471</v>
      </c>
      <c r="AF220" s="80" t="s">
        <v>3325</v>
      </c>
      <c r="AG220" s="80" t="s">
        <v>4013</v>
      </c>
      <c r="AH220" s="80" t="s">
        <v>4773</v>
      </c>
      <c r="AI220" s="80">
        <v>433425</v>
      </c>
      <c r="AJ220" s="80">
        <v>0</v>
      </c>
      <c r="AK220" s="80">
        <v>918</v>
      </c>
      <c r="AL220" s="80">
        <v>76</v>
      </c>
      <c r="AM220" s="80" t="s">
        <v>5614</v>
      </c>
      <c r="AN220" s="102" t="str">
        <f>HYPERLINK("https://www.youtube.com/watch?v=VcjxcFqi8U4")</f>
        <v>https://www.youtube.com/watch?v=VcjxcFqi8U4</v>
      </c>
      <c r="AO220" s="2"/>
      <c r="AP220" s="3"/>
      <c r="AQ220" s="3"/>
      <c r="AR220" s="3"/>
      <c r="AS220" s="3"/>
    </row>
    <row r="221" spans="1:45" ht="15">
      <c r="A221" s="66" t="s">
        <v>422</v>
      </c>
      <c r="B221" s="67"/>
      <c r="C221" s="67"/>
      <c r="D221" s="68"/>
      <c r="E221" s="70"/>
      <c r="F221" s="100" t="str">
        <f>HYPERLINK("https://i.ytimg.com/vi/yjl07dEtRAU/default.jpg")</f>
        <v>https://i.ytimg.com/vi/yjl07dEtRAU/default.jpg</v>
      </c>
      <c r="G221" s="67"/>
      <c r="H221" s="71"/>
      <c r="I221" s="72"/>
      <c r="J221" s="72"/>
      <c r="K221" s="71" t="s">
        <v>1461</v>
      </c>
      <c r="L221" s="75"/>
      <c r="M221" s="76">
        <v>3784.888427734375</v>
      </c>
      <c r="N221" s="76">
        <v>3617.111083984375</v>
      </c>
      <c r="O221" s="77"/>
      <c r="P221" s="78"/>
      <c r="Q221" s="78"/>
      <c r="R221" s="82"/>
      <c r="S221" s="82"/>
      <c r="T221" s="82"/>
      <c r="U221" s="82"/>
      <c r="V221" s="52"/>
      <c r="W221" s="52"/>
      <c r="X221" s="52"/>
      <c r="Y221" s="52"/>
      <c r="Z221" s="51"/>
      <c r="AA221" s="73">
        <v>221</v>
      </c>
      <c r="AB221" s="73"/>
      <c r="AC221" s="74"/>
      <c r="AD221" s="80" t="s">
        <v>1461</v>
      </c>
      <c r="AE221" s="80" t="s">
        <v>2472</v>
      </c>
      <c r="AF221" s="80"/>
      <c r="AG221" s="80" t="s">
        <v>3929</v>
      </c>
      <c r="AH221" s="80" t="s">
        <v>4774</v>
      </c>
      <c r="AI221" s="80">
        <v>47</v>
      </c>
      <c r="AJ221" s="80">
        <v>0</v>
      </c>
      <c r="AK221" s="80">
        <v>0</v>
      </c>
      <c r="AL221" s="80">
        <v>0</v>
      </c>
      <c r="AM221" s="80" t="s">
        <v>5614</v>
      </c>
      <c r="AN221" s="102" t="str">
        <f>HYPERLINK("https://www.youtube.com/watch?v=yjl07dEtRAU")</f>
        <v>https://www.youtube.com/watch?v=yjl07dEtRAU</v>
      </c>
      <c r="AO221" s="2"/>
      <c r="AP221" s="3"/>
      <c r="AQ221" s="3"/>
      <c r="AR221" s="3"/>
      <c r="AS221" s="3"/>
    </row>
    <row r="222" spans="1:45" ht="15">
      <c r="A222" s="66" t="s">
        <v>423</v>
      </c>
      <c r="B222" s="67"/>
      <c r="C222" s="67"/>
      <c r="D222" s="68"/>
      <c r="E222" s="70"/>
      <c r="F222" s="100" t="str">
        <f>HYPERLINK("https://i.ytimg.com/vi/VzXnkEfgv1c/default.jpg")</f>
        <v>https://i.ytimg.com/vi/VzXnkEfgv1c/default.jpg</v>
      </c>
      <c r="G222" s="67"/>
      <c r="H222" s="71"/>
      <c r="I222" s="72"/>
      <c r="J222" s="72"/>
      <c r="K222" s="71" t="s">
        <v>1462</v>
      </c>
      <c r="L222" s="75"/>
      <c r="M222" s="76">
        <v>3107.726806640625</v>
      </c>
      <c r="N222" s="76">
        <v>2961.744384765625</v>
      </c>
      <c r="O222" s="77"/>
      <c r="P222" s="78"/>
      <c r="Q222" s="78"/>
      <c r="R222" s="82"/>
      <c r="S222" s="82"/>
      <c r="T222" s="82"/>
      <c r="U222" s="82"/>
      <c r="V222" s="52"/>
      <c r="W222" s="52"/>
      <c r="X222" s="52"/>
      <c r="Y222" s="52"/>
      <c r="Z222" s="51"/>
      <c r="AA222" s="73">
        <v>222</v>
      </c>
      <c r="AB222" s="73"/>
      <c r="AC222" s="74"/>
      <c r="AD222" s="80" t="s">
        <v>1462</v>
      </c>
      <c r="AE222" s="80" t="s">
        <v>2473</v>
      </c>
      <c r="AF222" s="80" t="s">
        <v>3326</v>
      </c>
      <c r="AG222" s="80" t="s">
        <v>4014</v>
      </c>
      <c r="AH222" s="80" t="s">
        <v>4775</v>
      </c>
      <c r="AI222" s="80">
        <v>4094</v>
      </c>
      <c r="AJ222" s="80">
        <v>14</v>
      </c>
      <c r="AK222" s="80">
        <v>54</v>
      </c>
      <c r="AL222" s="80">
        <v>9</v>
      </c>
      <c r="AM222" s="80" t="s">
        <v>5614</v>
      </c>
      <c r="AN222" s="102" t="str">
        <f>HYPERLINK("https://www.youtube.com/watch?v=VzXnkEfgv1c")</f>
        <v>https://www.youtube.com/watch?v=VzXnkEfgv1c</v>
      </c>
      <c r="AO222" s="2"/>
      <c r="AP222" s="3"/>
      <c r="AQ222" s="3"/>
      <c r="AR222" s="3"/>
      <c r="AS222" s="3"/>
    </row>
    <row r="223" spans="1:45" ht="15">
      <c r="A223" s="66" t="s">
        <v>424</v>
      </c>
      <c r="B223" s="67"/>
      <c r="C223" s="67"/>
      <c r="D223" s="68"/>
      <c r="E223" s="70"/>
      <c r="F223" s="100" t="str">
        <f>HYPERLINK("https://i.ytimg.com/vi/gJf1mnOKYxA/default.jpg")</f>
        <v>https://i.ytimg.com/vi/gJf1mnOKYxA/default.jpg</v>
      </c>
      <c r="G223" s="67"/>
      <c r="H223" s="71"/>
      <c r="I223" s="72"/>
      <c r="J223" s="72"/>
      <c r="K223" s="71" t="s">
        <v>1463</v>
      </c>
      <c r="L223" s="75"/>
      <c r="M223" s="76">
        <v>3105.146728515625</v>
      </c>
      <c r="N223" s="76">
        <v>2905.536865234375</v>
      </c>
      <c r="O223" s="77"/>
      <c r="P223" s="78"/>
      <c r="Q223" s="78"/>
      <c r="R223" s="82"/>
      <c r="S223" s="82"/>
      <c r="T223" s="82"/>
      <c r="U223" s="82"/>
      <c r="V223" s="52"/>
      <c r="W223" s="52"/>
      <c r="X223" s="52"/>
      <c r="Y223" s="52"/>
      <c r="Z223" s="51"/>
      <c r="AA223" s="73">
        <v>223</v>
      </c>
      <c r="AB223" s="73"/>
      <c r="AC223" s="74"/>
      <c r="AD223" s="80" t="s">
        <v>1463</v>
      </c>
      <c r="AE223" s="80" t="s">
        <v>2474</v>
      </c>
      <c r="AF223" s="80"/>
      <c r="AG223" s="80" t="s">
        <v>4015</v>
      </c>
      <c r="AH223" s="80" t="s">
        <v>4776</v>
      </c>
      <c r="AI223" s="80">
        <v>23108</v>
      </c>
      <c r="AJ223" s="80">
        <v>12</v>
      </c>
      <c r="AK223" s="80">
        <v>218</v>
      </c>
      <c r="AL223" s="80">
        <v>36</v>
      </c>
      <c r="AM223" s="80" t="s">
        <v>5614</v>
      </c>
      <c r="AN223" s="102" t="str">
        <f>HYPERLINK("https://www.youtube.com/watch?v=gJf1mnOKYxA")</f>
        <v>https://www.youtube.com/watch?v=gJf1mnOKYxA</v>
      </c>
      <c r="AO223" s="2"/>
      <c r="AP223" s="3"/>
      <c r="AQ223" s="3"/>
      <c r="AR223" s="3"/>
      <c r="AS223" s="3"/>
    </row>
    <row r="224" spans="1:45" ht="15">
      <c r="A224" s="66" t="s">
        <v>425</v>
      </c>
      <c r="B224" s="67"/>
      <c r="C224" s="67"/>
      <c r="D224" s="68"/>
      <c r="E224" s="70"/>
      <c r="F224" s="100" t="str">
        <f>HYPERLINK("https://i.ytimg.com/vi/D82bNBS0gPE/default.jpg")</f>
        <v>https://i.ytimg.com/vi/D82bNBS0gPE/default.jpg</v>
      </c>
      <c r="G224" s="67"/>
      <c r="H224" s="71"/>
      <c r="I224" s="72"/>
      <c r="J224" s="72"/>
      <c r="K224" s="71" t="s">
        <v>1464</v>
      </c>
      <c r="L224" s="75"/>
      <c r="M224" s="76">
        <v>2857.40869140625</v>
      </c>
      <c r="N224" s="76">
        <v>3295.14208984375</v>
      </c>
      <c r="O224" s="77"/>
      <c r="P224" s="78"/>
      <c r="Q224" s="78"/>
      <c r="R224" s="82"/>
      <c r="S224" s="82"/>
      <c r="T224" s="82"/>
      <c r="U224" s="82"/>
      <c r="V224" s="52"/>
      <c r="W224" s="52"/>
      <c r="X224" s="52"/>
      <c r="Y224" s="52"/>
      <c r="Z224" s="51"/>
      <c r="AA224" s="73">
        <v>224</v>
      </c>
      <c r="AB224" s="73"/>
      <c r="AC224" s="74"/>
      <c r="AD224" s="80" t="s">
        <v>1464</v>
      </c>
      <c r="AE224" s="80"/>
      <c r="AF224" s="80" t="s">
        <v>3327</v>
      </c>
      <c r="AG224" s="80" t="s">
        <v>4016</v>
      </c>
      <c r="AH224" s="80" t="s">
        <v>4777</v>
      </c>
      <c r="AI224" s="80">
        <v>59902</v>
      </c>
      <c r="AJ224" s="80">
        <v>19</v>
      </c>
      <c r="AK224" s="80">
        <v>83</v>
      </c>
      <c r="AL224" s="80">
        <v>13</v>
      </c>
      <c r="AM224" s="80" t="s">
        <v>5614</v>
      </c>
      <c r="AN224" s="102" t="str">
        <f>HYPERLINK("https://www.youtube.com/watch?v=D82bNBS0gPE")</f>
        <v>https://www.youtube.com/watch?v=D82bNBS0gPE</v>
      </c>
      <c r="AO224" s="2"/>
      <c r="AP224" s="3"/>
      <c r="AQ224" s="3"/>
      <c r="AR224" s="3"/>
      <c r="AS224" s="3"/>
    </row>
    <row r="225" spans="1:45" ht="15">
      <c r="A225" s="66" t="s">
        <v>426</v>
      </c>
      <c r="B225" s="67"/>
      <c r="C225" s="67"/>
      <c r="D225" s="68"/>
      <c r="E225" s="70"/>
      <c r="F225" s="100" t="str">
        <f>HYPERLINK("https://i.ytimg.com/vi/10_0nVuXZqo/default.jpg")</f>
        <v>https://i.ytimg.com/vi/10_0nVuXZqo/default.jpg</v>
      </c>
      <c r="G225" s="67"/>
      <c r="H225" s="71"/>
      <c r="I225" s="72"/>
      <c r="J225" s="72"/>
      <c r="K225" s="71" t="s">
        <v>1465</v>
      </c>
      <c r="L225" s="75"/>
      <c r="M225" s="76">
        <v>3048.74267578125</v>
      </c>
      <c r="N225" s="76">
        <v>3188.8896484375</v>
      </c>
      <c r="O225" s="77"/>
      <c r="P225" s="78"/>
      <c r="Q225" s="78"/>
      <c r="R225" s="82"/>
      <c r="S225" s="82"/>
      <c r="T225" s="82"/>
      <c r="U225" s="82"/>
      <c r="V225" s="52"/>
      <c r="W225" s="52"/>
      <c r="X225" s="52"/>
      <c r="Y225" s="52"/>
      <c r="Z225" s="51"/>
      <c r="AA225" s="73">
        <v>225</v>
      </c>
      <c r="AB225" s="73"/>
      <c r="AC225" s="74"/>
      <c r="AD225" s="80" t="s">
        <v>1465</v>
      </c>
      <c r="AE225" s="80" t="s">
        <v>2475</v>
      </c>
      <c r="AF225" s="80" t="s">
        <v>3328</v>
      </c>
      <c r="AG225" s="80" t="s">
        <v>4017</v>
      </c>
      <c r="AH225" s="80" t="s">
        <v>4778</v>
      </c>
      <c r="AI225" s="80">
        <v>111497</v>
      </c>
      <c r="AJ225" s="80">
        <v>21</v>
      </c>
      <c r="AK225" s="80">
        <v>908</v>
      </c>
      <c r="AL225" s="80">
        <v>36</v>
      </c>
      <c r="AM225" s="80" t="s">
        <v>5614</v>
      </c>
      <c r="AN225" s="102" t="str">
        <f>HYPERLINK("https://www.youtube.com/watch?v=10_0nVuXZqo")</f>
        <v>https://www.youtube.com/watch?v=10_0nVuXZqo</v>
      </c>
      <c r="AO225" s="2"/>
      <c r="AP225" s="3"/>
      <c r="AQ225" s="3"/>
      <c r="AR225" s="3"/>
      <c r="AS225" s="3"/>
    </row>
    <row r="226" spans="1:45" ht="15">
      <c r="A226" s="66" t="s">
        <v>427</v>
      </c>
      <c r="B226" s="67"/>
      <c r="C226" s="67"/>
      <c r="D226" s="68"/>
      <c r="E226" s="70"/>
      <c r="F226" s="100" t="str">
        <f>HYPERLINK("https://i.ytimg.com/vi/-rux9lPjBME/default.jpg")</f>
        <v>https://i.ytimg.com/vi/-rux9lPjBME/default.jpg</v>
      </c>
      <c r="G226" s="67"/>
      <c r="H226" s="71"/>
      <c r="I226" s="72"/>
      <c r="J226" s="72"/>
      <c r="K226" s="71" t="s">
        <v>1466</v>
      </c>
      <c r="L226" s="75"/>
      <c r="M226" s="76">
        <v>3012.26953125</v>
      </c>
      <c r="N226" s="76">
        <v>3603.172607421875</v>
      </c>
      <c r="O226" s="77"/>
      <c r="P226" s="78"/>
      <c r="Q226" s="78"/>
      <c r="R226" s="82"/>
      <c r="S226" s="82"/>
      <c r="T226" s="82"/>
      <c r="U226" s="82"/>
      <c r="V226" s="52"/>
      <c r="W226" s="52"/>
      <c r="X226" s="52"/>
      <c r="Y226" s="52"/>
      <c r="Z226" s="51"/>
      <c r="AA226" s="73">
        <v>226</v>
      </c>
      <c r="AB226" s="73"/>
      <c r="AC226" s="74"/>
      <c r="AD226" s="80" t="s">
        <v>1466</v>
      </c>
      <c r="AE226" s="80"/>
      <c r="AF226" s="80"/>
      <c r="AG226" s="80" t="s">
        <v>4018</v>
      </c>
      <c r="AH226" s="80" t="s">
        <v>4779</v>
      </c>
      <c r="AI226" s="80">
        <v>3192</v>
      </c>
      <c r="AJ226" s="80">
        <v>1</v>
      </c>
      <c r="AK226" s="80">
        <v>51</v>
      </c>
      <c r="AL226" s="80">
        <v>1</v>
      </c>
      <c r="AM226" s="80" t="s">
        <v>5614</v>
      </c>
      <c r="AN226" s="102" t="str">
        <f>HYPERLINK("https://www.youtube.com/watch?v=-rux9lPjBME")</f>
        <v>https://www.youtube.com/watch?v=-rux9lPjBME</v>
      </c>
      <c r="AO226" s="2"/>
      <c r="AP226" s="3"/>
      <c r="AQ226" s="3"/>
      <c r="AR226" s="3"/>
      <c r="AS226" s="3"/>
    </row>
    <row r="227" spans="1:45" ht="15">
      <c r="A227" s="66" t="s">
        <v>428</v>
      </c>
      <c r="B227" s="67"/>
      <c r="C227" s="67"/>
      <c r="D227" s="68"/>
      <c r="E227" s="70"/>
      <c r="F227" s="100" t="str">
        <f>HYPERLINK("https://i.ytimg.com/vi/Priiw_mv_Bs/default.jpg")</f>
        <v>https://i.ytimg.com/vi/Priiw_mv_Bs/default.jpg</v>
      </c>
      <c r="G227" s="67"/>
      <c r="H227" s="71"/>
      <c r="I227" s="72"/>
      <c r="J227" s="72"/>
      <c r="K227" s="71" t="s">
        <v>1467</v>
      </c>
      <c r="L227" s="75"/>
      <c r="M227" s="76">
        <v>3203.69384765625</v>
      </c>
      <c r="N227" s="76">
        <v>3194.194091796875</v>
      </c>
      <c r="O227" s="77"/>
      <c r="P227" s="78"/>
      <c r="Q227" s="78"/>
      <c r="R227" s="82"/>
      <c r="S227" s="82"/>
      <c r="T227" s="82"/>
      <c r="U227" s="82"/>
      <c r="V227" s="52"/>
      <c r="W227" s="52"/>
      <c r="X227" s="52"/>
      <c r="Y227" s="52"/>
      <c r="Z227" s="51"/>
      <c r="AA227" s="73">
        <v>227</v>
      </c>
      <c r="AB227" s="73"/>
      <c r="AC227" s="74"/>
      <c r="AD227" s="80" t="s">
        <v>1467</v>
      </c>
      <c r="AE227" s="80" t="s">
        <v>2476</v>
      </c>
      <c r="AF227" s="80" t="s">
        <v>3230</v>
      </c>
      <c r="AG227" s="80" t="s">
        <v>4019</v>
      </c>
      <c r="AH227" s="80" t="s">
        <v>4780</v>
      </c>
      <c r="AI227" s="80">
        <v>1476</v>
      </c>
      <c r="AJ227" s="80">
        <v>0</v>
      </c>
      <c r="AK227" s="80">
        <v>25</v>
      </c>
      <c r="AL227" s="80">
        <v>2</v>
      </c>
      <c r="AM227" s="80" t="s">
        <v>5614</v>
      </c>
      <c r="AN227" s="102" t="str">
        <f>HYPERLINK("https://www.youtube.com/watch?v=Priiw_mv_Bs")</f>
        <v>https://www.youtube.com/watch?v=Priiw_mv_Bs</v>
      </c>
      <c r="AO227" s="2"/>
      <c r="AP227" s="3"/>
      <c r="AQ227" s="3"/>
      <c r="AR227" s="3"/>
      <c r="AS227" s="3"/>
    </row>
    <row r="228" spans="1:45" ht="15">
      <c r="A228" s="66" t="s">
        <v>429</v>
      </c>
      <c r="B228" s="67"/>
      <c r="C228" s="67"/>
      <c r="D228" s="68"/>
      <c r="E228" s="70"/>
      <c r="F228" s="100" t="str">
        <f>HYPERLINK("https://i.ytimg.com/vi/MoNxNbMYnE4/default.jpg")</f>
        <v>https://i.ytimg.com/vi/MoNxNbMYnE4/default.jpg</v>
      </c>
      <c r="G228" s="67"/>
      <c r="H228" s="71"/>
      <c r="I228" s="72"/>
      <c r="J228" s="72"/>
      <c r="K228" s="71" t="s">
        <v>1468</v>
      </c>
      <c r="L228" s="75"/>
      <c r="M228" s="76">
        <v>2947.99267578125</v>
      </c>
      <c r="N228" s="76">
        <v>3005.24560546875</v>
      </c>
      <c r="O228" s="77"/>
      <c r="P228" s="78"/>
      <c r="Q228" s="78"/>
      <c r="R228" s="82"/>
      <c r="S228" s="82"/>
      <c r="T228" s="82"/>
      <c r="U228" s="82"/>
      <c r="V228" s="52"/>
      <c r="W228" s="52"/>
      <c r="X228" s="52"/>
      <c r="Y228" s="52"/>
      <c r="Z228" s="51"/>
      <c r="AA228" s="73">
        <v>228</v>
      </c>
      <c r="AB228" s="73"/>
      <c r="AC228" s="74"/>
      <c r="AD228" s="80" t="s">
        <v>1468</v>
      </c>
      <c r="AE228" s="80" t="s">
        <v>2477</v>
      </c>
      <c r="AF228" s="80" t="s">
        <v>3329</v>
      </c>
      <c r="AG228" s="80" t="s">
        <v>3950</v>
      </c>
      <c r="AH228" s="80" t="s">
        <v>4781</v>
      </c>
      <c r="AI228" s="80">
        <v>175365</v>
      </c>
      <c r="AJ228" s="80">
        <v>30</v>
      </c>
      <c r="AK228" s="80">
        <v>638</v>
      </c>
      <c r="AL228" s="80">
        <v>36</v>
      </c>
      <c r="AM228" s="80" t="s">
        <v>5614</v>
      </c>
      <c r="AN228" s="102" t="str">
        <f>HYPERLINK("https://www.youtube.com/watch?v=MoNxNbMYnE4")</f>
        <v>https://www.youtube.com/watch?v=MoNxNbMYnE4</v>
      </c>
      <c r="AO228" s="2"/>
      <c r="AP228" s="3"/>
      <c r="AQ228" s="3"/>
      <c r="AR228" s="3"/>
      <c r="AS228" s="3"/>
    </row>
    <row r="229" spans="1:45" ht="15">
      <c r="A229" s="66" t="s">
        <v>430</v>
      </c>
      <c r="B229" s="67"/>
      <c r="C229" s="67"/>
      <c r="D229" s="68"/>
      <c r="E229" s="70"/>
      <c r="F229" s="100" t="str">
        <f>HYPERLINK("https://i.ytimg.com/vi/1POckR_yVA4/default.jpg")</f>
        <v>https://i.ytimg.com/vi/1POckR_yVA4/default.jpg</v>
      </c>
      <c r="G229" s="67"/>
      <c r="H229" s="71"/>
      <c r="I229" s="72"/>
      <c r="J229" s="72"/>
      <c r="K229" s="71" t="s">
        <v>1469</v>
      </c>
      <c r="L229" s="75"/>
      <c r="M229" s="76">
        <v>2956.751708984375</v>
      </c>
      <c r="N229" s="76">
        <v>3717.65771484375</v>
      </c>
      <c r="O229" s="77"/>
      <c r="P229" s="78"/>
      <c r="Q229" s="78"/>
      <c r="R229" s="82"/>
      <c r="S229" s="82"/>
      <c r="T229" s="82"/>
      <c r="U229" s="82"/>
      <c r="V229" s="52"/>
      <c r="W229" s="52"/>
      <c r="X229" s="52"/>
      <c r="Y229" s="52"/>
      <c r="Z229" s="51"/>
      <c r="AA229" s="73">
        <v>229</v>
      </c>
      <c r="AB229" s="73"/>
      <c r="AC229" s="74"/>
      <c r="AD229" s="80" t="s">
        <v>1469</v>
      </c>
      <c r="AE229" s="80" t="s">
        <v>2478</v>
      </c>
      <c r="AF229" s="80" t="s">
        <v>1469</v>
      </c>
      <c r="AG229" s="80" t="s">
        <v>4020</v>
      </c>
      <c r="AH229" s="80" t="s">
        <v>4782</v>
      </c>
      <c r="AI229" s="80">
        <v>23207</v>
      </c>
      <c r="AJ229" s="80">
        <v>1</v>
      </c>
      <c r="AK229" s="80">
        <v>36</v>
      </c>
      <c r="AL229" s="80">
        <v>3</v>
      </c>
      <c r="AM229" s="80" t="s">
        <v>5614</v>
      </c>
      <c r="AN229" s="102" t="str">
        <f>HYPERLINK("https://www.youtube.com/watch?v=1POckR_yVA4")</f>
        <v>https://www.youtube.com/watch?v=1POckR_yVA4</v>
      </c>
      <c r="AO229" s="2"/>
      <c r="AP229" s="3"/>
      <c r="AQ229" s="3"/>
      <c r="AR229" s="3"/>
      <c r="AS229" s="3"/>
    </row>
    <row r="230" spans="1:45" ht="15">
      <c r="A230" s="66" t="s">
        <v>431</v>
      </c>
      <c r="B230" s="67"/>
      <c r="C230" s="67"/>
      <c r="D230" s="68"/>
      <c r="E230" s="70"/>
      <c r="F230" s="100" t="str">
        <f>HYPERLINK("https://i.ytimg.com/vi/LLSjgvsMuAA/default.jpg")</f>
        <v>https://i.ytimg.com/vi/LLSjgvsMuAA/default.jpg</v>
      </c>
      <c r="G230" s="67"/>
      <c r="H230" s="71"/>
      <c r="I230" s="72"/>
      <c r="J230" s="72"/>
      <c r="K230" s="71" t="s">
        <v>1470</v>
      </c>
      <c r="L230" s="75"/>
      <c r="M230" s="76">
        <v>3181.044189453125</v>
      </c>
      <c r="N230" s="76">
        <v>2906.946044921875</v>
      </c>
      <c r="O230" s="77"/>
      <c r="P230" s="78"/>
      <c r="Q230" s="78"/>
      <c r="R230" s="82"/>
      <c r="S230" s="82"/>
      <c r="T230" s="82"/>
      <c r="U230" s="82"/>
      <c r="V230" s="52"/>
      <c r="W230" s="52"/>
      <c r="X230" s="52"/>
      <c r="Y230" s="52"/>
      <c r="Z230" s="51"/>
      <c r="AA230" s="73">
        <v>230</v>
      </c>
      <c r="AB230" s="73"/>
      <c r="AC230" s="74"/>
      <c r="AD230" s="80" t="s">
        <v>1470</v>
      </c>
      <c r="AE230" s="80" t="s">
        <v>2479</v>
      </c>
      <c r="AF230" s="80" t="s">
        <v>3330</v>
      </c>
      <c r="AG230" s="80" t="s">
        <v>4021</v>
      </c>
      <c r="AH230" s="80" t="s">
        <v>4783</v>
      </c>
      <c r="AI230" s="80">
        <v>8448</v>
      </c>
      <c r="AJ230" s="80">
        <v>17</v>
      </c>
      <c r="AK230" s="80">
        <v>158</v>
      </c>
      <c r="AL230" s="80">
        <v>1</v>
      </c>
      <c r="AM230" s="80" t="s">
        <v>5614</v>
      </c>
      <c r="AN230" s="102" t="str">
        <f>HYPERLINK("https://www.youtube.com/watch?v=LLSjgvsMuAA")</f>
        <v>https://www.youtube.com/watch?v=LLSjgvsMuAA</v>
      </c>
      <c r="AO230" s="2"/>
      <c r="AP230" s="3"/>
      <c r="AQ230" s="3"/>
      <c r="AR230" s="3"/>
      <c r="AS230" s="3"/>
    </row>
    <row r="231" spans="1:45" ht="15">
      <c r="A231" s="66" t="s">
        <v>432</v>
      </c>
      <c r="B231" s="67"/>
      <c r="C231" s="67"/>
      <c r="D231" s="68"/>
      <c r="E231" s="70"/>
      <c r="F231" s="100" t="str">
        <f>HYPERLINK("https://i.ytimg.com/vi/HI2ykGnTjDw/default.jpg")</f>
        <v>https://i.ytimg.com/vi/HI2ykGnTjDw/default.jpg</v>
      </c>
      <c r="G231" s="67"/>
      <c r="H231" s="71"/>
      <c r="I231" s="72"/>
      <c r="J231" s="72"/>
      <c r="K231" s="71" t="s">
        <v>1471</v>
      </c>
      <c r="L231" s="75"/>
      <c r="M231" s="76">
        <v>2977.15380859375</v>
      </c>
      <c r="N231" s="76">
        <v>3279.089599609375</v>
      </c>
      <c r="O231" s="77"/>
      <c r="P231" s="78"/>
      <c r="Q231" s="78"/>
      <c r="R231" s="82"/>
      <c r="S231" s="82"/>
      <c r="T231" s="82"/>
      <c r="U231" s="82"/>
      <c r="V231" s="52"/>
      <c r="W231" s="52"/>
      <c r="X231" s="52"/>
      <c r="Y231" s="52"/>
      <c r="Z231" s="51"/>
      <c r="AA231" s="73">
        <v>231</v>
      </c>
      <c r="AB231" s="73"/>
      <c r="AC231" s="74"/>
      <c r="AD231" s="80" t="s">
        <v>1471</v>
      </c>
      <c r="AE231" s="80" t="s">
        <v>2480</v>
      </c>
      <c r="AF231" s="80" t="s">
        <v>3331</v>
      </c>
      <c r="AG231" s="80" t="s">
        <v>4022</v>
      </c>
      <c r="AH231" s="80" t="s">
        <v>4784</v>
      </c>
      <c r="AI231" s="80">
        <v>214839</v>
      </c>
      <c r="AJ231" s="80">
        <v>118</v>
      </c>
      <c r="AK231" s="80">
        <v>4233</v>
      </c>
      <c r="AL231" s="80">
        <v>123</v>
      </c>
      <c r="AM231" s="80" t="s">
        <v>5614</v>
      </c>
      <c r="AN231" s="102" t="str">
        <f>HYPERLINK("https://www.youtube.com/watch?v=HI2ykGnTjDw")</f>
        <v>https://www.youtube.com/watch?v=HI2ykGnTjDw</v>
      </c>
      <c r="AO231" s="2"/>
      <c r="AP231" s="3"/>
      <c r="AQ231" s="3"/>
      <c r="AR231" s="3"/>
      <c r="AS231" s="3"/>
    </row>
    <row r="232" spans="1:45" ht="15">
      <c r="A232" s="66" t="s">
        <v>433</v>
      </c>
      <c r="B232" s="67"/>
      <c r="C232" s="67"/>
      <c r="D232" s="68"/>
      <c r="E232" s="70"/>
      <c r="F232" s="100" t="str">
        <f>HYPERLINK("https://i.ytimg.com/vi/9aKdUiptkKs/default.jpg")</f>
        <v>https://i.ytimg.com/vi/9aKdUiptkKs/default.jpg</v>
      </c>
      <c r="G232" s="67"/>
      <c r="H232" s="71"/>
      <c r="I232" s="72"/>
      <c r="J232" s="72"/>
      <c r="K232" s="71" t="s">
        <v>1472</v>
      </c>
      <c r="L232" s="75"/>
      <c r="M232" s="76">
        <v>3140.13330078125</v>
      </c>
      <c r="N232" s="76">
        <v>3034.509033203125</v>
      </c>
      <c r="O232" s="77"/>
      <c r="P232" s="78"/>
      <c r="Q232" s="78"/>
      <c r="R232" s="82"/>
      <c r="S232" s="82"/>
      <c r="T232" s="82"/>
      <c r="U232" s="82"/>
      <c r="V232" s="52"/>
      <c r="W232" s="52"/>
      <c r="X232" s="52"/>
      <c r="Y232" s="52"/>
      <c r="Z232" s="51"/>
      <c r="AA232" s="73">
        <v>232</v>
      </c>
      <c r="AB232" s="73"/>
      <c r="AC232" s="74"/>
      <c r="AD232" s="80" t="s">
        <v>1472</v>
      </c>
      <c r="AE232" s="80" t="s">
        <v>2481</v>
      </c>
      <c r="AF232" s="80" t="s">
        <v>3332</v>
      </c>
      <c r="AG232" s="80" t="s">
        <v>4023</v>
      </c>
      <c r="AH232" s="80" t="s">
        <v>4785</v>
      </c>
      <c r="AI232" s="80">
        <v>513262</v>
      </c>
      <c r="AJ232" s="80">
        <v>162</v>
      </c>
      <c r="AK232" s="80">
        <v>3203</v>
      </c>
      <c r="AL232" s="80">
        <v>271</v>
      </c>
      <c r="AM232" s="80" t="s">
        <v>5614</v>
      </c>
      <c r="AN232" s="102" t="str">
        <f>HYPERLINK("https://www.youtube.com/watch?v=9aKdUiptkKs")</f>
        <v>https://www.youtube.com/watch?v=9aKdUiptkKs</v>
      </c>
      <c r="AO232" s="2"/>
      <c r="AP232" s="3"/>
      <c r="AQ232" s="3"/>
      <c r="AR232" s="3"/>
      <c r="AS232" s="3"/>
    </row>
    <row r="233" spans="1:45" ht="15">
      <c r="A233" s="66" t="s">
        <v>434</v>
      </c>
      <c r="B233" s="67"/>
      <c r="C233" s="67"/>
      <c r="D233" s="68"/>
      <c r="E233" s="70"/>
      <c r="F233" s="100" t="str">
        <f>HYPERLINK("https://i.ytimg.com/vi/bOAH3MPZe4Y/default.jpg")</f>
        <v>https://i.ytimg.com/vi/bOAH3MPZe4Y/default.jpg</v>
      </c>
      <c r="G233" s="67"/>
      <c r="H233" s="71"/>
      <c r="I233" s="72"/>
      <c r="J233" s="72"/>
      <c r="K233" s="71" t="s">
        <v>1473</v>
      </c>
      <c r="L233" s="75"/>
      <c r="M233" s="76">
        <v>2944.30078125</v>
      </c>
      <c r="N233" s="76">
        <v>3696.67822265625</v>
      </c>
      <c r="O233" s="77"/>
      <c r="P233" s="78"/>
      <c r="Q233" s="78"/>
      <c r="R233" s="82"/>
      <c r="S233" s="82"/>
      <c r="T233" s="82"/>
      <c r="U233" s="82"/>
      <c r="V233" s="52"/>
      <c r="W233" s="52"/>
      <c r="X233" s="52"/>
      <c r="Y233" s="52"/>
      <c r="Z233" s="51"/>
      <c r="AA233" s="73">
        <v>233</v>
      </c>
      <c r="AB233" s="73"/>
      <c r="AC233" s="74"/>
      <c r="AD233" s="80" t="s">
        <v>1473</v>
      </c>
      <c r="AE233" s="80" t="s">
        <v>2482</v>
      </c>
      <c r="AF233" s="80" t="s">
        <v>3333</v>
      </c>
      <c r="AG233" s="80" t="s">
        <v>4024</v>
      </c>
      <c r="AH233" s="80" t="s">
        <v>4786</v>
      </c>
      <c r="AI233" s="80">
        <v>59536</v>
      </c>
      <c r="AJ233" s="80">
        <v>65</v>
      </c>
      <c r="AK233" s="80">
        <v>2945</v>
      </c>
      <c r="AL233" s="80">
        <v>34</v>
      </c>
      <c r="AM233" s="80" t="s">
        <v>5614</v>
      </c>
      <c r="AN233" s="102" t="str">
        <f>HYPERLINK("https://www.youtube.com/watch?v=bOAH3MPZe4Y")</f>
        <v>https://www.youtube.com/watch?v=bOAH3MPZe4Y</v>
      </c>
      <c r="AO233" s="2"/>
      <c r="AP233" s="3"/>
      <c r="AQ233" s="3"/>
      <c r="AR233" s="3"/>
      <c r="AS233" s="3"/>
    </row>
    <row r="234" spans="1:45" ht="15">
      <c r="A234" s="66" t="s">
        <v>435</v>
      </c>
      <c r="B234" s="67"/>
      <c r="C234" s="67"/>
      <c r="D234" s="68"/>
      <c r="E234" s="70"/>
      <c r="F234" s="100" t="str">
        <f>HYPERLINK("https://i.ytimg.com/vi/Hn7gQxddbTI/default.jpg")</f>
        <v>https://i.ytimg.com/vi/Hn7gQxddbTI/default.jpg</v>
      </c>
      <c r="G234" s="67"/>
      <c r="H234" s="71"/>
      <c r="I234" s="72"/>
      <c r="J234" s="72"/>
      <c r="K234" s="71" t="s">
        <v>1474</v>
      </c>
      <c r="L234" s="75"/>
      <c r="M234" s="76">
        <v>2973.405517578125</v>
      </c>
      <c r="N234" s="76">
        <v>3136.143798828125</v>
      </c>
      <c r="O234" s="77"/>
      <c r="P234" s="78"/>
      <c r="Q234" s="78"/>
      <c r="R234" s="82"/>
      <c r="S234" s="82"/>
      <c r="T234" s="82"/>
      <c r="U234" s="82"/>
      <c r="V234" s="52"/>
      <c r="W234" s="52"/>
      <c r="X234" s="52"/>
      <c r="Y234" s="52"/>
      <c r="Z234" s="51"/>
      <c r="AA234" s="73">
        <v>234</v>
      </c>
      <c r="AB234" s="73"/>
      <c r="AC234" s="74"/>
      <c r="AD234" s="80" t="s">
        <v>1474</v>
      </c>
      <c r="AE234" s="80" t="s">
        <v>2483</v>
      </c>
      <c r="AF234" s="80"/>
      <c r="AG234" s="80" t="s">
        <v>4025</v>
      </c>
      <c r="AH234" s="80" t="s">
        <v>4787</v>
      </c>
      <c r="AI234" s="80">
        <v>49784</v>
      </c>
      <c r="AJ234" s="80">
        <v>106</v>
      </c>
      <c r="AK234" s="80">
        <v>530</v>
      </c>
      <c r="AL234" s="80">
        <v>25</v>
      </c>
      <c r="AM234" s="80" t="s">
        <v>5614</v>
      </c>
      <c r="AN234" s="102" t="str">
        <f>HYPERLINK("https://www.youtube.com/watch?v=Hn7gQxddbTI")</f>
        <v>https://www.youtube.com/watch?v=Hn7gQxddbTI</v>
      </c>
      <c r="AO234" s="2"/>
      <c r="AP234" s="3"/>
      <c r="AQ234" s="3"/>
      <c r="AR234" s="3"/>
      <c r="AS234" s="3"/>
    </row>
    <row r="235" spans="1:45" ht="15">
      <c r="A235" s="66" t="s">
        <v>191</v>
      </c>
      <c r="B235" s="67"/>
      <c r="C235" s="67"/>
      <c r="D235" s="68"/>
      <c r="E235" s="70"/>
      <c r="F235" s="100" t="str">
        <f>HYPERLINK("https://i.ytimg.com/vi/XvSKgGTW5Dg/default.jpg")</f>
        <v>https://i.ytimg.com/vi/XvSKgGTW5Dg/default.jpg</v>
      </c>
      <c r="G235" s="67"/>
      <c r="H235" s="71"/>
      <c r="I235" s="72"/>
      <c r="J235" s="72"/>
      <c r="K235" s="71" t="s">
        <v>1475</v>
      </c>
      <c r="L235" s="75"/>
      <c r="M235" s="76">
        <v>3876.023193359375</v>
      </c>
      <c r="N235" s="76">
        <v>8400.9140625</v>
      </c>
      <c r="O235" s="77"/>
      <c r="P235" s="78"/>
      <c r="Q235" s="78"/>
      <c r="R235" s="82"/>
      <c r="S235" s="82"/>
      <c r="T235" s="82"/>
      <c r="U235" s="82"/>
      <c r="V235" s="52"/>
      <c r="W235" s="52"/>
      <c r="X235" s="52"/>
      <c r="Y235" s="52"/>
      <c r="Z235" s="51"/>
      <c r="AA235" s="73">
        <v>235</v>
      </c>
      <c r="AB235" s="73"/>
      <c r="AC235" s="74"/>
      <c r="AD235" s="80" t="s">
        <v>1475</v>
      </c>
      <c r="AE235" s="80"/>
      <c r="AF235" s="80"/>
      <c r="AG235" s="80" t="s">
        <v>4026</v>
      </c>
      <c r="AH235" s="80" t="s">
        <v>4788</v>
      </c>
      <c r="AI235" s="80">
        <v>8</v>
      </c>
      <c r="AJ235" s="80">
        <v>0</v>
      </c>
      <c r="AK235" s="80">
        <v>1</v>
      </c>
      <c r="AL235" s="80">
        <v>0</v>
      </c>
      <c r="AM235" s="80" t="s">
        <v>5614</v>
      </c>
      <c r="AN235" s="102" t="str">
        <f>HYPERLINK("https://www.youtube.com/watch?v=XvSKgGTW5Dg")</f>
        <v>https://www.youtube.com/watch?v=XvSKgGTW5Dg</v>
      </c>
      <c r="AO235" s="2"/>
      <c r="AP235" s="3"/>
      <c r="AQ235" s="3"/>
      <c r="AR235" s="3"/>
      <c r="AS235" s="3"/>
    </row>
    <row r="236" spans="1:45" ht="15">
      <c r="A236" s="66" t="s">
        <v>436</v>
      </c>
      <c r="B236" s="67"/>
      <c r="C236" s="67"/>
      <c r="D236" s="68"/>
      <c r="E236" s="70"/>
      <c r="F236" s="100" t="str">
        <f>HYPERLINK("https://i.ytimg.com/vi/zaahO4WGFSY/default.jpg")</f>
        <v>https://i.ytimg.com/vi/zaahO4WGFSY/default.jpg</v>
      </c>
      <c r="G236" s="67"/>
      <c r="H236" s="71"/>
      <c r="I236" s="72"/>
      <c r="J236" s="72"/>
      <c r="K236" s="71" t="s">
        <v>1476</v>
      </c>
      <c r="L236" s="75"/>
      <c r="M236" s="76">
        <v>2497.145263671875</v>
      </c>
      <c r="N236" s="76">
        <v>9275.5615234375</v>
      </c>
      <c r="O236" s="77"/>
      <c r="P236" s="78"/>
      <c r="Q236" s="78"/>
      <c r="R236" s="82"/>
      <c r="S236" s="82"/>
      <c r="T236" s="82"/>
      <c r="U236" s="82"/>
      <c r="V236" s="52"/>
      <c r="W236" s="52"/>
      <c r="X236" s="52"/>
      <c r="Y236" s="52"/>
      <c r="Z236" s="51"/>
      <c r="AA236" s="73">
        <v>236</v>
      </c>
      <c r="AB236" s="73"/>
      <c r="AC236" s="74"/>
      <c r="AD236" s="80" t="s">
        <v>1476</v>
      </c>
      <c r="AE236" s="80" t="s">
        <v>2484</v>
      </c>
      <c r="AF236" s="80"/>
      <c r="AG236" s="80" t="s">
        <v>4026</v>
      </c>
      <c r="AH236" s="80" t="s">
        <v>4789</v>
      </c>
      <c r="AI236" s="80">
        <v>34703</v>
      </c>
      <c r="AJ236" s="80">
        <v>192</v>
      </c>
      <c r="AK236" s="80">
        <v>189</v>
      </c>
      <c r="AL236" s="80">
        <v>26</v>
      </c>
      <c r="AM236" s="80" t="s">
        <v>5614</v>
      </c>
      <c r="AN236" s="102" t="str">
        <f>HYPERLINK("https://www.youtube.com/watch?v=zaahO4WGFSY")</f>
        <v>https://www.youtube.com/watch?v=zaahO4WGFSY</v>
      </c>
      <c r="AO236" s="2"/>
      <c r="AP236" s="3"/>
      <c r="AQ236" s="3"/>
      <c r="AR236" s="3"/>
      <c r="AS236" s="3"/>
    </row>
    <row r="237" spans="1:45" ht="15">
      <c r="A237" s="66" t="s">
        <v>437</v>
      </c>
      <c r="B237" s="67"/>
      <c r="C237" s="67"/>
      <c r="D237" s="68"/>
      <c r="E237" s="70"/>
      <c r="F237" s="100" t="str">
        <f>HYPERLINK("https://i.ytimg.com/vi/OWsKneHJ_8I/default.jpg")</f>
        <v>https://i.ytimg.com/vi/OWsKneHJ_8I/default.jpg</v>
      </c>
      <c r="G237" s="67"/>
      <c r="H237" s="71"/>
      <c r="I237" s="72"/>
      <c r="J237" s="72"/>
      <c r="K237" s="71" t="s">
        <v>1477</v>
      </c>
      <c r="L237" s="75"/>
      <c r="M237" s="76">
        <v>2998.016845703125</v>
      </c>
      <c r="N237" s="76">
        <v>9506.630859375</v>
      </c>
      <c r="O237" s="77"/>
      <c r="P237" s="78"/>
      <c r="Q237" s="78"/>
      <c r="R237" s="82"/>
      <c r="S237" s="82"/>
      <c r="T237" s="82"/>
      <c r="U237" s="82"/>
      <c r="V237" s="52"/>
      <c r="W237" s="52"/>
      <c r="X237" s="52"/>
      <c r="Y237" s="52"/>
      <c r="Z237" s="51"/>
      <c r="AA237" s="73">
        <v>237</v>
      </c>
      <c r="AB237" s="73"/>
      <c r="AC237" s="74"/>
      <c r="AD237" s="80" t="s">
        <v>1477</v>
      </c>
      <c r="AE237" s="80" t="s">
        <v>2485</v>
      </c>
      <c r="AF237" s="80"/>
      <c r="AG237" s="80" t="s">
        <v>4026</v>
      </c>
      <c r="AH237" s="80" t="s">
        <v>4790</v>
      </c>
      <c r="AI237" s="80">
        <v>19097</v>
      </c>
      <c r="AJ237" s="80">
        <v>84</v>
      </c>
      <c r="AK237" s="80">
        <v>126</v>
      </c>
      <c r="AL237" s="80">
        <v>6</v>
      </c>
      <c r="AM237" s="80" t="s">
        <v>5614</v>
      </c>
      <c r="AN237" s="102" t="str">
        <f>HYPERLINK("https://www.youtube.com/watch?v=OWsKneHJ_8I")</f>
        <v>https://www.youtube.com/watch?v=OWsKneHJ_8I</v>
      </c>
      <c r="AO237" s="2"/>
      <c r="AP237" s="3"/>
      <c r="AQ237" s="3"/>
      <c r="AR237" s="3"/>
      <c r="AS237" s="3"/>
    </row>
    <row r="238" spans="1:45" ht="15">
      <c r="A238" s="66" t="s">
        <v>438</v>
      </c>
      <c r="B238" s="67"/>
      <c r="C238" s="67"/>
      <c r="D238" s="68"/>
      <c r="E238" s="70"/>
      <c r="F238" s="100" t="str">
        <f>HYPERLINK("https://i.ytimg.com/vi/rM4296sniUY/default.jpg")</f>
        <v>https://i.ytimg.com/vi/rM4296sniUY/default.jpg</v>
      </c>
      <c r="G238" s="67"/>
      <c r="H238" s="71"/>
      <c r="I238" s="72"/>
      <c r="J238" s="72"/>
      <c r="K238" s="71" t="s">
        <v>1478</v>
      </c>
      <c r="L238" s="75"/>
      <c r="M238" s="76">
        <v>2523.49462890625</v>
      </c>
      <c r="N238" s="76">
        <v>9325.88671875</v>
      </c>
      <c r="O238" s="77"/>
      <c r="P238" s="78"/>
      <c r="Q238" s="78"/>
      <c r="R238" s="82"/>
      <c r="S238" s="82"/>
      <c r="T238" s="82"/>
      <c r="U238" s="82"/>
      <c r="V238" s="52"/>
      <c r="W238" s="52"/>
      <c r="X238" s="52"/>
      <c r="Y238" s="52"/>
      <c r="Z238" s="51"/>
      <c r="AA238" s="73">
        <v>238</v>
      </c>
      <c r="AB238" s="73"/>
      <c r="AC238" s="74"/>
      <c r="AD238" s="80" t="s">
        <v>1478</v>
      </c>
      <c r="AE238" s="80" t="s">
        <v>2486</v>
      </c>
      <c r="AF238" s="80" t="s">
        <v>3334</v>
      </c>
      <c r="AG238" s="80" t="s">
        <v>4026</v>
      </c>
      <c r="AH238" s="80" t="s">
        <v>4791</v>
      </c>
      <c r="AI238" s="80">
        <v>7819</v>
      </c>
      <c r="AJ238" s="80">
        <v>0</v>
      </c>
      <c r="AK238" s="80">
        <v>73</v>
      </c>
      <c r="AL238" s="80">
        <v>16</v>
      </c>
      <c r="AM238" s="80" t="s">
        <v>5614</v>
      </c>
      <c r="AN238" s="102" t="str">
        <f>HYPERLINK("https://www.youtube.com/watch?v=rM4296sniUY")</f>
        <v>https://www.youtube.com/watch?v=rM4296sniUY</v>
      </c>
      <c r="AO238" s="2"/>
      <c r="AP238" s="3"/>
      <c r="AQ238" s="3"/>
      <c r="AR238" s="3"/>
      <c r="AS238" s="3"/>
    </row>
    <row r="239" spans="1:45" ht="15">
      <c r="A239" s="66" t="s">
        <v>439</v>
      </c>
      <c r="B239" s="67"/>
      <c r="C239" s="67"/>
      <c r="D239" s="68"/>
      <c r="E239" s="70"/>
      <c r="F239" s="100" t="str">
        <f>HYPERLINK("https://i.ytimg.com/vi/Lg2D0fZqbO8/default.jpg")</f>
        <v>https://i.ytimg.com/vi/Lg2D0fZqbO8/default.jpg</v>
      </c>
      <c r="G239" s="67"/>
      <c r="H239" s="71"/>
      <c r="I239" s="72"/>
      <c r="J239" s="72"/>
      <c r="K239" s="71" t="s">
        <v>1479</v>
      </c>
      <c r="L239" s="75"/>
      <c r="M239" s="76">
        <v>3228.677978515625</v>
      </c>
      <c r="N239" s="76">
        <v>9588.4775390625</v>
      </c>
      <c r="O239" s="77"/>
      <c r="P239" s="78"/>
      <c r="Q239" s="78"/>
      <c r="R239" s="82"/>
      <c r="S239" s="82"/>
      <c r="T239" s="82"/>
      <c r="U239" s="82"/>
      <c r="V239" s="52"/>
      <c r="W239" s="52"/>
      <c r="X239" s="52"/>
      <c r="Y239" s="52"/>
      <c r="Z239" s="51"/>
      <c r="AA239" s="73">
        <v>239</v>
      </c>
      <c r="AB239" s="73"/>
      <c r="AC239" s="74"/>
      <c r="AD239" s="80" t="s">
        <v>1479</v>
      </c>
      <c r="AE239" s="80" t="s">
        <v>2487</v>
      </c>
      <c r="AF239" s="80"/>
      <c r="AG239" s="80" t="s">
        <v>4026</v>
      </c>
      <c r="AH239" s="80" t="s">
        <v>4792</v>
      </c>
      <c r="AI239" s="80">
        <v>1443</v>
      </c>
      <c r="AJ239" s="80">
        <v>3</v>
      </c>
      <c r="AK239" s="80">
        <v>23</v>
      </c>
      <c r="AL239" s="80">
        <v>0</v>
      </c>
      <c r="AM239" s="80" t="s">
        <v>5614</v>
      </c>
      <c r="AN239" s="102" t="str">
        <f>HYPERLINK("https://www.youtube.com/watch?v=Lg2D0fZqbO8")</f>
        <v>https://www.youtube.com/watch?v=Lg2D0fZqbO8</v>
      </c>
      <c r="AO239" s="2"/>
      <c r="AP239" s="3"/>
      <c r="AQ239" s="3"/>
      <c r="AR239" s="3"/>
      <c r="AS239" s="3"/>
    </row>
    <row r="240" spans="1:45" ht="15">
      <c r="A240" s="66" t="s">
        <v>192</v>
      </c>
      <c r="B240" s="67"/>
      <c r="C240" s="67"/>
      <c r="D240" s="68"/>
      <c r="E240" s="70"/>
      <c r="F240" s="100" t="str">
        <f>HYPERLINK("https://i.ytimg.com/vi/ERd5LD2O4zs/default.jpg")</f>
        <v>https://i.ytimg.com/vi/ERd5LD2O4zs/default.jpg</v>
      </c>
      <c r="G240" s="67"/>
      <c r="H240" s="71"/>
      <c r="I240" s="72"/>
      <c r="J240" s="72"/>
      <c r="K240" s="71" t="s">
        <v>1480</v>
      </c>
      <c r="L240" s="75"/>
      <c r="M240" s="76">
        <v>6362.80810546875</v>
      </c>
      <c r="N240" s="76">
        <v>2640.8134765625</v>
      </c>
      <c r="O240" s="77"/>
      <c r="P240" s="78"/>
      <c r="Q240" s="78"/>
      <c r="R240" s="82"/>
      <c r="S240" s="82"/>
      <c r="T240" s="82"/>
      <c r="U240" s="82"/>
      <c r="V240" s="52"/>
      <c r="W240" s="52"/>
      <c r="X240" s="52"/>
      <c r="Y240" s="52"/>
      <c r="Z240" s="51"/>
      <c r="AA240" s="73">
        <v>240</v>
      </c>
      <c r="AB240" s="73"/>
      <c r="AC240" s="74"/>
      <c r="AD240" s="80" t="s">
        <v>1480</v>
      </c>
      <c r="AE240" s="80" t="s">
        <v>2488</v>
      </c>
      <c r="AF240" s="80"/>
      <c r="AG240" s="80" t="s">
        <v>4027</v>
      </c>
      <c r="AH240" s="80" t="s">
        <v>4793</v>
      </c>
      <c r="AI240" s="80">
        <v>60</v>
      </c>
      <c r="AJ240" s="80">
        <v>0</v>
      </c>
      <c r="AK240" s="80">
        <v>6</v>
      </c>
      <c r="AL240" s="80">
        <v>0</v>
      </c>
      <c r="AM240" s="80" t="s">
        <v>5614</v>
      </c>
      <c r="AN240" s="102" t="str">
        <f>HYPERLINK("https://www.youtube.com/watch?v=ERd5LD2O4zs")</f>
        <v>https://www.youtube.com/watch?v=ERd5LD2O4zs</v>
      </c>
      <c r="AO240" s="2"/>
      <c r="AP240" s="3"/>
      <c r="AQ240" s="3"/>
      <c r="AR240" s="3"/>
      <c r="AS240" s="3"/>
    </row>
    <row r="241" spans="1:45" ht="15">
      <c r="A241" s="66" t="s">
        <v>440</v>
      </c>
      <c r="B241" s="67"/>
      <c r="C241" s="67"/>
      <c r="D241" s="68"/>
      <c r="E241" s="70"/>
      <c r="F241" s="100" t="str">
        <f>HYPERLINK("https://i.ytimg.com/vi/vvFHc6ISbF0/default.jpg")</f>
        <v>https://i.ytimg.com/vi/vvFHc6ISbF0/default.jpg</v>
      </c>
      <c r="G241" s="67"/>
      <c r="H241" s="71"/>
      <c r="I241" s="72"/>
      <c r="J241" s="72"/>
      <c r="K241" s="71" t="s">
        <v>1481</v>
      </c>
      <c r="L241" s="75"/>
      <c r="M241" s="76">
        <v>7360.90087890625</v>
      </c>
      <c r="N241" s="76">
        <v>495.83306884765625</v>
      </c>
      <c r="O241" s="77"/>
      <c r="P241" s="78"/>
      <c r="Q241" s="78"/>
      <c r="R241" s="82"/>
      <c r="S241" s="82"/>
      <c r="T241" s="82"/>
      <c r="U241" s="82"/>
      <c r="V241" s="52"/>
      <c r="W241" s="52"/>
      <c r="X241" s="52"/>
      <c r="Y241" s="52"/>
      <c r="Z241" s="51"/>
      <c r="AA241" s="73">
        <v>241</v>
      </c>
      <c r="AB241" s="73"/>
      <c r="AC241" s="74"/>
      <c r="AD241" s="80" t="s">
        <v>1481</v>
      </c>
      <c r="AE241" s="80" t="s">
        <v>2489</v>
      </c>
      <c r="AF241" s="80" t="s">
        <v>3335</v>
      </c>
      <c r="AG241" s="80" t="s">
        <v>4027</v>
      </c>
      <c r="AH241" s="80" t="s">
        <v>4794</v>
      </c>
      <c r="AI241" s="80">
        <v>42</v>
      </c>
      <c r="AJ241" s="80">
        <v>0</v>
      </c>
      <c r="AK241" s="80">
        <v>2</v>
      </c>
      <c r="AL241" s="80">
        <v>0</v>
      </c>
      <c r="AM241" s="80" t="s">
        <v>5614</v>
      </c>
      <c r="AN241" s="102" t="str">
        <f>HYPERLINK("https://www.youtube.com/watch?v=vvFHc6ISbF0")</f>
        <v>https://www.youtube.com/watch?v=vvFHc6ISbF0</v>
      </c>
      <c r="AO241" s="2"/>
      <c r="AP241" s="3"/>
      <c r="AQ241" s="3"/>
      <c r="AR241" s="3"/>
      <c r="AS241" s="3"/>
    </row>
    <row r="242" spans="1:45" ht="15">
      <c r="A242" s="66" t="s">
        <v>441</v>
      </c>
      <c r="B242" s="67"/>
      <c r="C242" s="67"/>
      <c r="D242" s="68"/>
      <c r="E242" s="70"/>
      <c r="F242" s="100" t="str">
        <f>HYPERLINK("https://i.ytimg.com/vi/92FLgvqTzyg/default.jpg")</f>
        <v>https://i.ytimg.com/vi/92FLgvqTzyg/default.jpg</v>
      </c>
      <c r="G242" s="67"/>
      <c r="H242" s="71"/>
      <c r="I242" s="72"/>
      <c r="J242" s="72"/>
      <c r="K242" s="71" t="s">
        <v>1482</v>
      </c>
      <c r="L242" s="75"/>
      <c r="M242" s="76">
        <v>4759.05712890625</v>
      </c>
      <c r="N242" s="76">
        <v>1889.7586669921875</v>
      </c>
      <c r="O242" s="77"/>
      <c r="P242" s="78"/>
      <c r="Q242" s="78"/>
      <c r="R242" s="82"/>
      <c r="S242" s="82"/>
      <c r="T242" s="82"/>
      <c r="U242" s="82"/>
      <c r="V242" s="52"/>
      <c r="W242" s="52"/>
      <c r="X242" s="52"/>
      <c r="Y242" s="52"/>
      <c r="Z242" s="51"/>
      <c r="AA242" s="73">
        <v>242</v>
      </c>
      <c r="AB242" s="73"/>
      <c r="AC242" s="74"/>
      <c r="AD242" s="80" t="s">
        <v>1482</v>
      </c>
      <c r="AE242" s="80" t="s">
        <v>2490</v>
      </c>
      <c r="AF242" s="80" t="s">
        <v>3336</v>
      </c>
      <c r="AG242" s="80" t="s">
        <v>4028</v>
      </c>
      <c r="AH242" s="80" t="s">
        <v>4795</v>
      </c>
      <c r="AI242" s="80">
        <v>403251</v>
      </c>
      <c r="AJ242" s="80">
        <v>345</v>
      </c>
      <c r="AK242" s="80">
        <v>4115</v>
      </c>
      <c r="AL242" s="80">
        <v>180</v>
      </c>
      <c r="AM242" s="80" t="s">
        <v>5614</v>
      </c>
      <c r="AN242" s="102" t="str">
        <f>HYPERLINK("https://www.youtube.com/watch?v=92FLgvqTzyg")</f>
        <v>https://www.youtube.com/watch?v=92FLgvqTzyg</v>
      </c>
      <c r="AO242" s="2"/>
      <c r="AP242" s="3"/>
      <c r="AQ242" s="3"/>
      <c r="AR242" s="3"/>
      <c r="AS242" s="3"/>
    </row>
    <row r="243" spans="1:45" ht="15">
      <c r="A243" s="66" t="s">
        <v>442</v>
      </c>
      <c r="B243" s="67"/>
      <c r="C243" s="67"/>
      <c r="D243" s="68"/>
      <c r="E243" s="70"/>
      <c r="F243" s="100" t="str">
        <f>HYPERLINK("https://i.ytimg.com/vi/30KJeeOa5WY/default.jpg")</f>
        <v>https://i.ytimg.com/vi/30KJeeOa5WY/default.jpg</v>
      </c>
      <c r="G243" s="67"/>
      <c r="H243" s="71"/>
      <c r="I243" s="72"/>
      <c r="J243" s="72"/>
      <c r="K243" s="71" t="s">
        <v>1483</v>
      </c>
      <c r="L243" s="75"/>
      <c r="M243" s="76">
        <v>7792.6640625</v>
      </c>
      <c r="N243" s="76">
        <v>728.5343017578125</v>
      </c>
      <c r="O243" s="77"/>
      <c r="P243" s="78"/>
      <c r="Q243" s="78"/>
      <c r="R243" s="82"/>
      <c r="S243" s="82"/>
      <c r="T243" s="82"/>
      <c r="U243" s="82"/>
      <c r="V243" s="52"/>
      <c r="W243" s="52"/>
      <c r="X243" s="52"/>
      <c r="Y243" s="52"/>
      <c r="Z243" s="51"/>
      <c r="AA243" s="73">
        <v>243</v>
      </c>
      <c r="AB243" s="73"/>
      <c r="AC243" s="74"/>
      <c r="AD243" s="80" t="s">
        <v>1483</v>
      </c>
      <c r="AE243" s="80" t="s">
        <v>2491</v>
      </c>
      <c r="AF243" s="80" t="s">
        <v>3337</v>
      </c>
      <c r="AG243" s="80" t="s">
        <v>4029</v>
      </c>
      <c r="AH243" s="80" t="s">
        <v>4796</v>
      </c>
      <c r="AI243" s="80">
        <v>2028048</v>
      </c>
      <c r="AJ243" s="80">
        <v>1365</v>
      </c>
      <c r="AK243" s="80">
        <v>59076</v>
      </c>
      <c r="AL243" s="80">
        <v>1431</v>
      </c>
      <c r="AM243" s="80" t="s">
        <v>5614</v>
      </c>
      <c r="AN243" s="102" t="str">
        <f>HYPERLINK("https://www.youtube.com/watch?v=30KJeeOa5WY")</f>
        <v>https://www.youtube.com/watch?v=30KJeeOa5WY</v>
      </c>
      <c r="AO243" s="2"/>
      <c r="AP243" s="3"/>
      <c r="AQ243" s="3"/>
      <c r="AR243" s="3"/>
      <c r="AS243" s="3"/>
    </row>
    <row r="244" spans="1:45" ht="15">
      <c r="A244" s="66" t="s">
        <v>443</v>
      </c>
      <c r="B244" s="67"/>
      <c r="C244" s="67"/>
      <c r="D244" s="68"/>
      <c r="E244" s="70"/>
      <c r="F244" s="100" t="str">
        <f>HYPERLINK("https://i.ytimg.com/vi/l0s6ZLkV-U0/default.jpg")</f>
        <v>https://i.ytimg.com/vi/l0s6ZLkV-U0/default.jpg</v>
      </c>
      <c r="G244" s="67"/>
      <c r="H244" s="71"/>
      <c r="I244" s="72"/>
      <c r="J244" s="72"/>
      <c r="K244" s="71" t="s">
        <v>1484</v>
      </c>
      <c r="L244" s="75"/>
      <c r="M244" s="76">
        <v>7954.099609375</v>
      </c>
      <c r="N244" s="76">
        <v>874.8607788085938</v>
      </c>
      <c r="O244" s="77"/>
      <c r="P244" s="78"/>
      <c r="Q244" s="78"/>
      <c r="R244" s="82"/>
      <c r="S244" s="82"/>
      <c r="T244" s="82"/>
      <c r="U244" s="82"/>
      <c r="V244" s="52"/>
      <c r="W244" s="52"/>
      <c r="X244" s="52"/>
      <c r="Y244" s="52"/>
      <c r="Z244" s="51"/>
      <c r="AA244" s="73">
        <v>244</v>
      </c>
      <c r="AB244" s="73"/>
      <c r="AC244" s="74"/>
      <c r="AD244" s="80" t="s">
        <v>1484</v>
      </c>
      <c r="AE244" s="80" t="s">
        <v>2492</v>
      </c>
      <c r="AF244" s="80" t="s">
        <v>3338</v>
      </c>
      <c r="AG244" s="80" t="s">
        <v>4030</v>
      </c>
      <c r="AH244" s="80" t="s">
        <v>4797</v>
      </c>
      <c r="AI244" s="80">
        <v>1594821</v>
      </c>
      <c r="AJ244" s="80">
        <v>679</v>
      </c>
      <c r="AK244" s="80">
        <v>11989</v>
      </c>
      <c r="AL244" s="80">
        <v>514</v>
      </c>
      <c r="AM244" s="80" t="s">
        <v>5614</v>
      </c>
      <c r="AN244" s="102" t="str">
        <f>HYPERLINK("https://www.youtube.com/watch?v=l0s6ZLkV-U0")</f>
        <v>https://www.youtube.com/watch?v=l0s6ZLkV-U0</v>
      </c>
      <c r="AO244" s="2"/>
      <c r="AP244" s="3"/>
      <c r="AQ244" s="3"/>
      <c r="AR244" s="3"/>
      <c r="AS244" s="3"/>
    </row>
    <row r="245" spans="1:45" ht="15">
      <c r="A245" s="66" t="s">
        <v>444</v>
      </c>
      <c r="B245" s="67"/>
      <c r="C245" s="67"/>
      <c r="D245" s="68"/>
      <c r="E245" s="70"/>
      <c r="F245" s="100" t="str">
        <f>HYPERLINK("https://i.ytimg.com/vi/m6sY-JBLOu0/default.jpg")</f>
        <v>https://i.ytimg.com/vi/m6sY-JBLOu0/default.jpg</v>
      </c>
      <c r="G245" s="67"/>
      <c r="H245" s="71"/>
      <c r="I245" s="72"/>
      <c r="J245" s="72"/>
      <c r="K245" s="71" t="s">
        <v>1485</v>
      </c>
      <c r="L245" s="75"/>
      <c r="M245" s="76">
        <v>7193.80224609375</v>
      </c>
      <c r="N245" s="76">
        <v>491.2482604980469</v>
      </c>
      <c r="O245" s="77"/>
      <c r="P245" s="78"/>
      <c r="Q245" s="78"/>
      <c r="R245" s="82"/>
      <c r="S245" s="82"/>
      <c r="T245" s="82"/>
      <c r="U245" s="82"/>
      <c r="V245" s="52"/>
      <c r="W245" s="52"/>
      <c r="X245" s="52"/>
      <c r="Y245" s="52"/>
      <c r="Z245" s="51"/>
      <c r="AA245" s="73">
        <v>245</v>
      </c>
      <c r="AB245" s="73"/>
      <c r="AC245" s="74"/>
      <c r="AD245" s="80" t="s">
        <v>1485</v>
      </c>
      <c r="AE245" s="80" t="s">
        <v>2493</v>
      </c>
      <c r="AF245" s="80" t="s">
        <v>3339</v>
      </c>
      <c r="AG245" s="80" t="s">
        <v>4031</v>
      </c>
      <c r="AH245" s="80" t="s">
        <v>4798</v>
      </c>
      <c r="AI245" s="80">
        <v>1040287</v>
      </c>
      <c r="AJ245" s="80">
        <v>617</v>
      </c>
      <c r="AK245" s="80">
        <v>19249</v>
      </c>
      <c r="AL245" s="80">
        <v>842</v>
      </c>
      <c r="AM245" s="80" t="s">
        <v>5614</v>
      </c>
      <c r="AN245" s="102" t="str">
        <f>HYPERLINK("https://www.youtube.com/watch?v=m6sY-JBLOu0")</f>
        <v>https://www.youtube.com/watch?v=m6sY-JBLOu0</v>
      </c>
      <c r="AO245" s="2"/>
      <c r="AP245" s="3"/>
      <c r="AQ245" s="3"/>
      <c r="AR245" s="3"/>
      <c r="AS245" s="3"/>
    </row>
    <row r="246" spans="1:45" ht="15">
      <c r="A246" s="66" t="s">
        <v>445</v>
      </c>
      <c r="B246" s="67"/>
      <c r="C246" s="67"/>
      <c r="D246" s="68"/>
      <c r="E246" s="70"/>
      <c r="F246" s="100" t="str">
        <f>HYPERLINK("https://i.ytimg.com/vi/WcC4znsu2Ac/default.jpg")</f>
        <v>https://i.ytimg.com/vi/WcC4znsu2Ac/default.jpg</v>
      </c>
      <c r="G246" s="67"/>
      <c r="H246" s="71"/>
      <c r="I246" s="72"/>
      <c r="J246" s="72"/>
      <c r="K246" s="71" t="s">
        <v>1486</v>
      </c>
      <c r="L246" s="75"/>
      <c r="M246" s="76">
        <v>7963.93994140625</v>
      </c>
      <c r="N246" s="76">
        <v>812.1110229492188</v>
      </c>
      <c r="O246" s="77"/>
      <c r="P246" s="78"/>
      <c r="Q246" s="78"/>
      <c r="R246" s="82"/>
      <c r="S246" s="82"/>
      <c r="T246" s="82"/>
      <c r="U246" s="82"/>
      <c r="V246" s="52"/>
      <c r="W246" s="52"/>
      <c r="X246" s="52"/>
      <c r="Y246" s="52"/>
      <c r="Z246" s="51"/>
      <c r="AA246" s="73">
        <v>246</v>
      </c>
      <c r="AB246" s="73"/>
      <c r="AC246" s="74"/>
      <c r="AD246" s="80" t="s">
        <v>1486</v>
      </c>
      <c r="AE246" s="80" t="s">
        <v>2494</v>
      </c>
      <c r="AF246" s="80"/>
      <c r="AG246" s="80" t="s">
        <v>4032</v>
      </c>
      <c r="AH246" s="80" t="s">
        <v>4799</v>
      </c>
      <c r="AI246" s="80">
        <v>675307</v>
      </c>
      <c r="AJ246" s="80">
        <v>419</v>
      </c>
      <c r="AK246" s="80">
        <v>6751</v>
      </c>
      <c r="AL246" s="80">
        <v>276</v>
      </c>
      <c r="AM246" s="80" t="s">
        <v>5614</v>
      </c>
      <c r="AN246" s="102" t="str">
        <f>HYPERLINK("https://www.youtube.com/watch?v=WcC4znsu2Ac")</f>
        <v>https://www.youtube.com/watch?v=WcC4znsu2Ac</v>
      </c>
      <c r="AO246" s="2"/>
      <c r="AP246" s="3"/>
      <c r="AQ246" s="3"/>
      <c r="AR246" s="3"/>
      <c r="AS246" s="3"/>
    </row>
    <row r="247" spans="1:45" ht="15">
      <c r="A247" s="66" t="s">
        <v>446</v>
      </c>
      <c r="B247" s="67"/>
      <c r="C247" s="67"/>
      <c r="D247" s="68"/>
      <c r="E247" s="70"/>
      <c r="F247" s="100" t="str">
        <f>HYPERLINK("https://i.ytimg.com/vi/qYR1_axf3fE/default.jpg")</f>
        <v>https://i.ytimg.com/vi/qYR1_axf3fE/default.jpg</v>
      </c>
      <c r="G247" s="67"/>
      <c r="H247" s="71"/>
      <c r="I247" s="72"/>
      <c r="J247" s="72"/>
      <c r="K247" s="71" t="s">
        <v>1487</v>
      </c>
      <c r="L247" s="75"/>
      <c r="M247" s="76">
        <v>7461.13818359375</v>
      </c>
      <c r="N247" s="76">
        <v>599.7011108398438</v>
      </c>
      <c r="O247" s="77"/>
      <c r="P247" s="78"/>
      <c r="Q247" s="78"/>
      <c r="R247" s="82"/>
      <c r="S247" s="82"/>
      <c r="T247" s="82"/>
      <c r="U247" s="82"/>
      <c r="V247" s="52"/>
      <c r="W247" s="52"/>
      <c r="X247" s="52"/>
      <c r="Y247" s="52"/>
      <c r="Z247" s="51"/>
      <c r="AA247" s="73">
        <v>247</v>
      </c>
      <c r="AB247" s="73"/>
      <c r="AC247" s="74"/>
      <c r="AD247" s="80" t="s">
        <v>1487</v>
      </c>
      <c r="AE247" s="80" t="s">
        <v>2495</v>
      </c>
      <c r="AF247" s="80" t="s">
        <v>3340</v>
      </c>
      <c r="AG247" s="80" t="s">
        <v>4033</v>
      </c>
      <c r="AH247" s="80" t="s">
        <v>4800</v>
      </c>
      <c r="AI247" s="80">
        <v>444985</v>
      </c>
      <c r="AJ247" s="80">
        <v>1314</v>
      </c>
      <c r="AK247" s="80">
        <v>12217</v>
      </c>
      <c r="AL247" s="80">
        <v>296</v>
      </c>
      <c r="AM247" s="80" t="s">
        <v>5614</v>
      </c>
      <c r="AN247" s="102" t="str">
        <f>HYPERLINK("https://www.youtube.com/watch?v=qYR1_axf3fE")</f>
        <v>https://www.youtube.com/watch?v=qYR1_axf3fE</v>
      </c>
      <c r="AO247" s="2"/>
      <c r="AP247" s="3"/>
      <c r="AQ247" s="3"/>
      <c r="AR247" s="3"/>
      <c r="AS247" s="3"/>
    </row>
    <row r="248" spans="1:45" ht="15">
      <c r="A248" s="66" t="s">
        <v>447</v>
      </c>
      <c r="B248" s="67"/>
      <c r="C248" s="67"/>
      <c r="D248" s="68"/>
      <c r="E248" s="70"/>
      <c r="F248" s="100" t="str">
        <f>HYPERLINK("https://i.ytimg.com/vi/d9-Md7GppLI/default.jpg")</f>
        <v>https://i.ytimg.com/vi/d9-Md7GppLI/default.jpg</v>
      </c>
      <c r="G248" s="67"/>
      <c r="H248" s="71"/>
      <c r="I248" s="72"/>
      <c r="J248" s="72"/>
      <c r="K248" s="71" t="s">
        <v>1488</v>
      </c>
      <c r="L248" s="75"/>
      <c r="M248" s="76">
        <v>7426.4638671875</v>
      </c>
      <c r="N248" s="76">
        <v>607.5569458007812</v>
      </c>
      <c r="O248" s="77"/>
      <c r="P248" s="78"/>
      <c r="Q248" s="78"/>
      <c r="R248" s="82"/>
      <c r="S248" s="82"/>
      <c r="T248" s="82"/>
      <c r="U248" s="82"/>
      <c r="V248" s="52"/>
      <c r="W248" s="52"/>
      <c r="X248" s="52"/>
      <c r="Y248" s="52"/>
      <c r="Z248" s="51"/>
      <c r="AA248" s="73">
        <v>248</v>
      </c>
      <c r="AB248" s="73"/>
      <c r="AC248" s="74"/>
      <c r="AD248" s="80" t="s">
        <v>1488</v>
      </c>
      <c r="AE248" s="80" t="s">
        <v>2496</v>
      </c>
      <c r="AF248" s="80" t="s">
        <v>3341</v>
      </c>
      <c r="AG248" s="80" t="s">
        <v>4034</v>
      </c>
      <c r="AH248" s="80" t="s">
        <v>4801</v>
      </c>
      <c r="AI248" s="80">
        <v>740098</v>
      </c>
      <c r="AJ248" s="80">
        <v>604</v>
      </c>
      <c r="AK248" s="80">
        <v>31023</v>
      </c>
      <c r="AL248" s="80">
        <v>699</v>
      </c>
      <c r="AM248" s="80" t="s">
        <v>5614</v>
      </c>
      <c r="AN248" s="102" t="str">
        <f>HYPERLINK("https://www.youtube.com/watch?v=d9-Md7GppLI")</f>
        <v>https://www.youtube.com/watch?v=d9-Md7GppLI</v>
      </c>
      <c r="AO248" s="2"/>
      <c r="AP248" s="3"/>
      <c r="AQ248" s="3"/>
      <c r="AR248" s="3"/>
      <c r="AS248" s="3"/>
    </row>
    <row r="249" spans="1:45" ht="15">
      <c r="A249" s="66" t="s">
        <v>448</v>
      </c>
      <c r="B249" s="67"/>
      <c r="C249" s="67"/>
      <c r="D249" s="68"/>
      <c r="E249" s="70"/>
      <c r="F249" s="100" t="str">
        <f>HYPERLINK("https://i.ytimg.com/vi/Usj5MBGkhKY/default.jpg")</f>
        <v>https://i.ytimg.com/vi/Usj5MBGkhKY/default.jpg</v>
      </c>
      <c r="G249" s="67"/>
      <c r="H249" s="71"/>
      <c r="I249" s="72"/>
      <c r="J249" s="72"/>
      <c r="K249" s="71" t="s">
        <v>1489</v>
      </c>
      <c r="L249" s="75"/>
      <c r="M249" s="76">
        <v>8083.6083984375</v>
      </c>
      <c r="N249" s="76">
        <v>890.8131103515625</v>
      </c>
      <c r="O249" s="77"/>
      <c r="P249" s="78"/>
      <c r="Q249" s="78"/>
      <c r="R249" s="82"/>
      <c r="S249" s="82"/>
      <c r="T249" s="82"/>
      <c r="U249" s="82"/>
      <c r="V249" s="52"/>
      <c r="W249" s="52"/>
      <c r="X249" s="52"/>
      <c r="Y249" s="52"/>
      <c r="Z249" s="51"/>
      <c r="AA249" s="73">
        <v>249</v>
      </c>
      <c r="AB249" s="73"/>
      <c r="AC249" s="74"/>
      <c r="AD249" s="80" t="s">
        <v>1489</v>
      </c>
      <c r="AE249" s="80" t="s">
        <v>2497</v>
      </c>
      <c r="AF249" s="80" t="s">
        <v>3342</v>
      </c>
      <c r="AG249" s="80" t="s">
        <v>4035</v>
      </c>
      <c r="AH249" s="80" t="s">
        <v>4802</v>
      </c>
      <c r="AI249" s="80">
        <v>360701</v>
      </c>
      <c r="AJ249" s="80">
        <v>303</v>
      </c>
      <c r="AK249" s="80">
        <v>2640</v>
      </c>
      <c r="AL249" s="80">
        <v>132</v>
      </c>
      <c r="AM249" s="80" t="s">
        <v>5614</v>
      </c>
      <c r="AN249" s="102" t="str">
        <f>HYPERLINK("https://www.youtube.com/watch?v=Usj5MBGkhKY")</f>
        <v>https://www.youtube.com/watch?v=Usj5MBGkhKY</v>
      </c>
      <c r="AO249" s="2"/>
      <c r="AP249" s="3"/>
      <c r="AQ249" s="3"/>
      <c r="AR249" s="3"/>
      <c r="AS249" s="3"/>
    </row>
    <row r="250" spans="1:45" ht="15">
      <c r="A250" s="66" t="s">
        <v>449</v>
      </c>
      <c r="B250" s="67"/>
      <c r="C250" s="67"/>
      <c r="D250" s="68"/>
      <c r="E250" s="70"/>
      <c r="F250" s="100" t="str">
        <f>HYPERLINK("https://i.ytimg.com/vi/zCTS9VIgc_I/default.jpg")</f>
        <v>https://i.ytimg.com/vi/zCTS9VIgc_I/default.jpg</v>
      </c>
      <c r="G250" s="67"/>
      <c r="H250" s="71"/>
      <c r="I250" s="72"/>
      <c r="J250" s="72"/>
      <c r="K250" s="71" t="s">
        <v>1490</v>
      </c>
      <c r="L250" s="75"/>
      <c r="M250" s="76">
        <v>7890.3759765625</v>
      </c>
      <c r="N250" s="76">
        <v>831.45556640625</v>
      </c>
      <c r="O250" s="77"/>
      <c r="P250" s="78"/>
      <c r="Q250" s="78"/>
      <c r="R250" s="82"/>
      <c r="S250" s="82"/>
      <c r="T250" s="82"/>
      <c r="U250" s="82"/>
      <c r="V250" s="52"/>
      <c r="W250" s="52"/>
      <c r="X250" s="52"/>
      <c r="Y250" s="52"/>
      <c r="Z250" s="51"/>
      <c r="AA250" s="73">
        <v>250</v>
      </c>
      <c r="AB250" s="73"/>
      <c r="AC250" s="74"/>
      <c r="AD250" s="80" t="s">
        <v>1490</v>
      </c>
      <c r="AE250" s="80" t="s">
        <v>2498</v>
      </c>
      <c r="AF250" s="80" t="s">
        <v>3343</v>
      </c>
      <c r="AG250" s="80" t="s">
        <v>4036</v>
      </c>
      <c r="AH250" s="80" t="s">
        <v>4803</v>
      </c>
      <c r="AI250" s="80">
        <v>3511105</v>
      </c>
      <c r="AJ250" s="80">
        <v>3118</v>
      </c>
      <c r="AK250" s="80">
        <v>108084</v>
      </c>
      <c r="AL250" s="80">
        <v>4592</v>
      </c>
      <c r="AM250" s="80" t="s">
        <v>5614</v>
      </c>
      <c r="AN250" s="102" t="str">
        <f>HYPERLINK("https://www.youtube.com/watch?v=zCTS9VIgc_I")</f>
        <v>https://www.youtube.com/watch?v=zCTS9VIgc_I</v>
      </c>
      <c r="AO250" s="2"/>
      <c r="AP250" s="3"/>
      <c r="AQ250" s="3"/>
      <c r="AR250" s="3"/>
      <c r="AS250" s="3"/>
    </row>
    <row r="251" spans="1:45" ht="15">
      <c r="A251" s="66" t="s">
        <v>450</v>
      </c>
      <c r="B251" s="67"/>
      <c r="C251" s="67"/>
      <c r="D251" s="68"/>
      <c r="E251" s="70"/>
      <c r="F251" s="100" t="str">
        <f>HYPERLINK("https://i.ytimg.com/vi/JIh3D0JVxYo/default.jpg")</f>
        <v>https://i.ytimg.com/vi/JIh3D0JVxYo/default.jpg</v>
      </c>
      <c r="G251" s="67"/>
      <c r="H251" s="71"/>
      <c r="I251" s="72"/>
      <c r="J251" s="72"/>
      <c r="K251" s="71" t="s">
        <v>1491</v>
      </c>
      <c r="L251" s="75"/>
      <c r="M251" s="76">
        <v>7590.2294921875</v>
      </c>
      <c r="N251" s="76">
        <v>694.5292358398438</v>
      </c>
      <c r="O251" s="77"/>
      <c r="P251" s="78"/>
      <c r="Q251" s="78"/>
      <c r="R251" s="82"/>
      <c r="S251" s="82"/>
      <c r="T251" s="82"/>
      <c r="U251" s="82"/>
      <c r="V251" s="52"/>
      <c r="W251" s="52"/>
      <c r="X251" s="52"/>
      <c r="Y251" s="52"/>
      <c r="Z251" s="51"/>
      <c r="AA251" s="73">
        <v>251</v>
      </c>
      <c r="AB251" s="73"/>
      <c r="AC251" s="74"/>
      <c r="AD251" s="80" t="s">
        <v>1491</v>
      </c>
      <c r="AE251" s="80" t="s">
        <v>2499</v>
      </c>
      <c r="AF251" s="80" t="s">
        <v>3335</v>
      </c>
      <c r="AG251" s="80" t="s">
        <v>4027</v>
      </c>
      <c r="AH251" s="80" t="s">
        <v>4804</v>
      </c>
      <c r="AI251" s="80">
        <v>164</v>
      </c>
      <c r="AJ251" s="80">
        <v>0</v>
      </c>
      <c r="AK251" s="80">
        <v>10</v>
      </c>
      <c r="AL251" s="80">
        <v>0</v>
      </c>
      <c r="AM251" s="80" t="s">
        <v>5614</v>
      </c>
      <c r="AN251" s="102" t="str">
        <f>HYPERLINK("https://www.youtube.com/watch?v=JIh3D0JVxYo")</f>
        <v>https://www.youtube.com/watch?v=JIh3D0JVxYo</v>
      </c>
      <c r="AO251" s="2"/>
      <c r="AP251" s="3"/>
      <c r="AQ251" s="3"/>
      <c r="AR251" s="3"/>
      <c r="AS251" s="3"/>
    </row>
    <row r="252" spans="1:45" ht="15">
      <c r="A252" s="66" t="s">
        <v>451</v>
      </c>
      <c r="B252" s="67"/>
      <c r="C252" s="67"/>
      <c r="D252" s="68"/>
      <c r="E252" s="70"/>
      <c r="F252" s="100" t="str">
        <f>HYPERLINK("https://i.ytimg.com/vi/I4qYbVi6r1o/default.jpg")</f>
        <v>https://i.ytimg.com/vi/I4qYbVi6r1o/default.jpg</v>
      </c>
      <c r="G252" s="67"/>
      <c r="H252" s="71"/>
      <c r="I252" s="72"/>
      <c r="J252" s="72"/>
      <c r="K252" s="71" t="s">
        <v>1492</v>
      </c>
      <c r="L252" s="75"/>
      <c r="M252" s="76">
        <v>7314.52001953125</v>
      </c>
      <c r="N252" s="76">
        <v>549.29541015625</v>
      </c>
      <c r="O252" s="77"/>
      <c r="P252" s="78"/>
      <c r="Q252" s="78"/>
      <c r="R252" s="82"/>
      <c r="S252" s="82"/>
      <c r="T252" s="82"/>
      <c r="U252" s="82"/>
      <c r="V252" s="52"/>
      <c r="W252" s="52"/>
      <c r="X252" s="52"/>
      <c r="Y252" s="52"/>
      <c r="Z252" s="51"/>
      <c r="AA252" s="73">
        <v>252</v>
      </c>
      <c r="AB252" s="73"/>
      <c r="AC252" s="74"/>
      <c r="AD252" s="80" t="s">
        <v>1492</v>
      </c>
      <c r="AE252" s="80"/>
      <c r="AF252" s="80"/>
      <c r="AG252" s="80" t="s">
        <v>4037</v>
      </c>
      <c r="AH252" s="80" t="s">
        <v>4805</v>
      </c>
      <c r="AI252" s="80">
        <v>243258</v>
      </c>
      <c r="AJ252" s="80">
        <v>33</v>
      </c>
      <c r="AK252" s="80">
        <v>1898</v>
      </c>
      <c r="AL252" s="80">
        <v>113</v>
      </c>
      <c r="AM252" s="80" t="s">
        <v>5614</v>
      </c>
      <c r="AN252" s="102" t="str">
        <f>HYPERLINK("https://www.youtube.com/watch?v=I4qYbVi6r1o")</f>
        <v>https://www.youtube.com/watch?v=I4qYbVi6r1o</v>
      </c>
      <c r="AO252" s="2"/>
      <c r="AP252" s="3"/>
      <c r="AQ252" s="3"/>
      <c r="AR252" s="3"/>
      <c r="AS252" s="3"/>
    </row>
    <row r="253" spans="1:45" ht="15">
      <c r="A253" s="66" t="s">
        <v>452</v>
      </c>
      <c r="B253" s="67"/>
      <c r="C253" s="67"/>
      <c r="D253" s="68"/>
      <c r="E253" s="70"/>
      <c r="F253" s="100" t="str">
        <f>HYPERLINK("https://i.ytimg.com/vi/UfInRKGVVqg/default.jpg")</f>
        <v>https://i.ytimg.com/vi/UfInRKGVVqg/default.jpg</v>
      </c>
      <c r="G253" s="67"/>
      <c r="H253" s="71"/>
      <c r="I253" s="72"/>
      <c r="J253" s="72"/>
      <c r="K253" s="71" t="s">
        <v>1493</v>
      </c>
      <c r="L253" s="75"/>
      <c r="M253" s="76">
        <v>7730.7294921875</v>
      </c>
      <c r="N253" s="76">
        <v>695.294677734375</v>
      </c>
      <c r="O253" s="77"/>
      <c r="P253" s="78"/>
      <c r="Q253" s="78"/>
      <c r="R253" s="82"/>
      <c r="S253" s="82"/>
      <c r="T253" s="82"/>
      <c r="U253" s="82"/>
      <c r="V253" s="52"/>
      <c r="W253" s="52"/>
      <c r="X253" s="52"/>
      <c r="Y253" s="52"/>
      <c r="Z253" s="51"/>
      <c r="AA253" s="73">
        <v>253</v>
      </c>
      <c r="AB253" s="73"/>
      <c r="AC253" s="74"/>
      <c r="AD253" s="80" t="s">
        <v>1493</v>
      </c>
      <c r="AE253" s="80" t="s">
        <v>2500</v>
      </c>
      <c r="AF253" s="80" t="s">
        <v>3335</v>
      </c>
      <c r="AG253" s="80" t="s">
        <v>4027</v>
      </c>
      <c r="AH253" s="80" t="s">
        <v>4806</v>
      </c>
      <c r="AI253" s="80">
        <v>39</v>
      </c>
      <c r="AJ253" s="80">
        <v>0</v>
      </c>
      <c r="AK253" s="80">
        <v>1</v>
      </c>
      <c r="AL253" s="80">
        <v>0</v>
      </c>
      <c r="AM253" s="80" t="s">
        <v>5614</v>
      </c>
      <c r="AN253" s="102" t="str">
        <f>HYPERLINK("https://www.youtube.com/watch?v=UfInRKGVVqg")</f>
        <v>https://www.youtube.com/watch?v=UfInRKGVVqg</v>
      </c>
      <c r="AO253" s="2"/>
      <c r="AP253" s="3"/>
      <c r="AQ253" s="3"/>
      <c r="AR253" s="3"/>
      <c r="AS253" s="3"/>
    </row>
    <row r="254" spans="1:45" ht="15">
      <c r="A254" s="66" t="s">
        <v>453</v>
      </c>
      <c r="B254" s="67"/>
      <c r="C254" s="67"/>
      <c r="D254" s="68"/>
      <c r="E254" s="70"/>
      <c r="F254" s="100" t="str">
        <f>HYPERLINK("https://i.ytimg.com/vi/rK8S0ujlgaA/default.jpg")</f>
        <v>https://i.ytimg.com/vi/rK8S0ujlgaA/default.jpg</v>
      </c>
      <c r="G254" s="67"/>
      <c r="H254" s="71"/>
      <c r="I254" s="72"/>
      <c r="J254" s="72"/>
      <c r="K254" s="71" t="s">
        <v>1494</v>
      </c>
      <c r="L254" s="75"/>
      <c r="M254" s="76">
        <v>7721.15478515625</v>
      </c>
      <c r="N254" s="76">
        <v>675.5924682617188</v>
      </c>
      <c r="O254" s="77"/>
      <c r="P254" s="78"/>
      <c r="Q254" s="78"/>
      <c r="R254" s="82"/>
      <c r="S254" s="82"/>
      <c r="T254" s="82"/>
      <c r="U254" s="82"/>
      <c r="V254" s="52"/>
      <c r="W254" s="52"/>
      <c r="X254" s="52"/>
      <c r="Y254" s="52"/>
      <c r="Z254" s="51"/>
      <c r="AA254" s="73">
        <v>254</v>
      </c>
      <c r="AB254" s="73"/>
      <c r="AC254" s="74"/>
      <c r="AD254" s="80" t="s">
        <v>1494</v>
      </c>
      <c r="AE254" s="80" t="s">
        <v>2501</v>
      </c>
      <c r="AF254" s="80" t="s">
        <v>3344</v>
      </c>
      <c r="AG254" s="80" t="s">
        <v>4038</v>
      </c>
      <c r="AH254" s="80" t="s">
        <v>4807</v>
      </c>
      <c r="AI254" s="80">
        <v>3346</v>
      </c>
      <c r="AJ254" s="80">
        <v>11</v>
      </c>
      <c r="AK254" s="80">
        <v>73</v>
      </c>
      <c r="AL254" s="80">
        <v>2</v>
      </c>
      <c r="AM254" s="80" t="s">
        <v>5614</v>
      </c>
      <c r="AN254" s="102" t="str">
        <f>HYPERLINK("https://www.youtube.com/watch?v=rK8S0ujlgaA")</f>
        <v>https://www.youtube.com/watch?v=rK8S0ujlgaA</v>
      </c>
      <c r="AO254" s="2"/>
      <c r="AP254" s="3"/>
      <c r="AQ254" s="3"/>
      <c r="AR254" s="3"/>
      <c r="AS254" s="3"/>
    </row>
    <row r="255" spans="1:45" ht="15">
      <c r="A255" s="66" t="s">
        <v>454</v>
      </c>
      <c r="B255" s="67"/>
      <c r="C255" s="67"/>
      <c r="D255" s="68"/>
      <c r="E255" s="70"/>
      <c r="F255" s="100" t="str">
        <f>HYPERLINK("https://i.ytimg.com/vi/yE9p73J2RFw/default.jpg")</f>
        <v>https://i.ytimg.com/vi/yE9p73J2RFw/default.jpg</v>
      </c>
      <c r="G255" s="67"/>
      <c r="H255" s="71"/>
      <c r="I255" s="72"/>
      <c r="J255" s="72"/>
      <c r="K255" s="71" t="s">
        <v>1495</v>
      </c>
      <c r="L255" s="75"/>
      <c r="M255" s="76">
        <v>7343.47705078125</v>
      </c>
      <c r="N255" s="76">
        <v>504.2771301269531</v>
      </c>
      <c r="O255" s="77"/>
      <c r="P255" s="78"/>
      <c r="Q255" s="78"/>
      <c r="R255" s="82"/>
      <c r="S255" s="82"/>
      <c r="T255" s="82"/>
      <c r="U255" s="82"/>
      <c r="V255" s="52"/>
      <c r="W255" s="52"/>
      <c r="X255" s="52"/>
      <c r="Y255" s="52"/>
      <c r="Z255" s="51"/>
      <c r="AA255" s="73">
        <v>255</v>
      </c>
      <c r="AB255" s="73"/>
      <c r="AC255" s="74"/>
      <c r="AD255" s="80" t="s">
        <v>1495</v>
      </c>
      <c r="AE255" s="80" t="s">
        <v>2502</v>
      </c>
      <c r="AF255" s="80" t="s">
        <v>3345</v>
      </c>
      <c r="AG255" s="80" t="s">
        <v>4039</v>
      </c>
      <c r="AH255" s="80" t="s">
        <v>4808</v>
      </c>
      <c r="AI255" s="80">
        <v>1475093</v>
      </c>
      <c r="AJ255" s="80">
        <v>1639</v>
      </c>
      <c r="AK255" s="80">
        <v>60326</v>
      </c>
      <c r="AL255" s="80">
        <v>1173</v>
      </c>
      <c r="AM255" s="80" t="s">
        <v>5614</v>
      </c>
      <c r="AN255" s="102" t="str">
        <f>HYPERLINK("https://www.youtube.com/watch?v=yE9p73J2RFw")</f>
        <v>https://www.youtube.com/watch?v=yE9p73J2RFw</v>
      </c>
      <c r="AO255" s="2"/>
      <c r="AP255" s="3"/>
      <c r="AQ255" s="3"/>
      <c r="AR255" s="3"/>
      <c r="AS255" s="3"/>
    </row>
    <row r="256" spans="1:45" ht="15">
      <c r="A256" s="66" t="s">
        <v>455</v>
      </c>
      <c r="B256" s="67"/>
      <c r="C256" s="67"/>
      <c r="D256" s="68"/>
      <c r="E256" s="70"/>
      <c r="F256" s="100" t="str">
        <f>HYPERLINK("https://i.ytimg.com/vi/GsBcLq8wcZU/default.jpg")</f>
        <v>https://i.ytimg.com/vi/GsBcLq8wcZU/default.jpg</v>
      </c>
      <c r="G256" s="67"/>
      <c r="H256" s="71"/>
      <c r="I256" s="72"/>
      <c r="J256" s="72"/>
      <c r="K256" s="71" t="s">
        <v>1496</v>
      </c>
      <c r="L256" s="75"/>
      <c r="M256" s="76">
        <v>7872.01171875</v>
      </c>
      <c r="N256" s="76">
        <v>821.5748291015625</v>
      </c>
      <c r="O256" s="77"/>
      <c r="P256" s="78"/>
      <c r="Q256" s="78"/>
      <c r="R256" s="82"/>
      <c r="S256" s="82"/>
      <c r="T256" s="82"/>
      <c r="U256" s="82"/>
      <c r="V256" s="52"/>
      <c r="W256" s="52"/>
      <c r="X256" s="52"/>
      <c r="Y256" s="52"/>
      <c r="Z256" s="51"/>
      <c r="AA256" s="73">
        <v>256</v>
      </c>
      <c r="AB256" s="73"/>
      <c r="AC256" s="74"/>
      <c r="AD256" s="80" t="s">
        <v>1496</v>
      </c>
      <c r="AE256" s="80" t="s">
        <v>2503</v>
      </c>
      <c r="AF256" s="80" t="s">
        <v>3335</v>
      </c>
      <c r="AG256" s="80" t="s">
        <v>4027</v>
      </c>
      <c r="AH256" s="80" t="s">
        <v>4809</v>
      </c>
      <c r="AI256" s="80">
        <v>24</v>
      </c>
      <c r="AJ256" s="80">
        <v>1</v>
      </c>
      <c r="AK256" s="80">
        <v>3</v>
      </c>
      <c r="AL256" s="80">
        <v>0</v>
      </c>
      <c r="AM256" s="80" t="s">
        <v>5614</v>
      </c>
      <c r="AN256" s="102" t="str">
        <f>HYPERLINK("https://www.youtube.com/watch?v=GsBcLq8wcZU")</f>
        <v>https://www.youtube.com/watch?v=GsBcLq8wcZU</v>
      </c>
      <c r="AO256" s="2"/>
      <c r="AP256" s="3"/>
      <c r="AQ256" s="3"/>
      <c r="AR256" s="3"/>
      <c r="AS256" s="3"/>
    </row>
    <row r="257" spans="1:45" ht="15">
      <c r="A257" s="66" t="s">
        <v>456</v>
      </c>
      <c r="B257" s="67"/>
      <c r="C257" s="67"/>
      <c r="D257" s="68"/>
      <c r="E257" s="70"/>
      <c r="F257" s="100" t="str">
        <f>HYPERLINK("https://i.ytimg.com/vi/tiXVoIP4hsE/default.jpg")</f>
        <v>https://i.ytimg.com/vi/tiXVoIP4hsE/default.jpg</v>
      </c>
      <c r="G257" s="67"/>
      <c r="H257" s="71"/>
      <c r="I257" s="72"/>
      <c r="J257" s="72"/>
      <c r="K257" s="71" t="s">
        <v>1497</v>
      </c>
      <c r="L257" s="75"/>
      <c r="M257" s="76">
        <v>8050.994140625</v>
      </c>
      <c r="N257" s="76">
        <v>962.185791015625</v>
      </c>
      <c r="O257" s="77"/>
      <c r="P257" s="78"/>
      <c r="Q257" s="78"/>
      <c r="R257" s="82"/>
      <c r="S257" s="82"/>
      <c r="T257" s="82"/>
      <c r="U257" s="82"/>
      <c r="V257" s="52"/>
      <c r="W257" s="52"/>
      <c r="X257" s="52"/>
      <c r="Y257" s="52"/>
      <c r="Z257" s="51"/>
      <c r="AA257" s="73">
        <v>257</v>
      </c>
      <c r="AB257" s="73"/>
      <c r="AC257" s="74"/>
      <c r="AD257" s="80" t="s">
        <v>1497</v>
      </c>
      <c r="AE257" s="80" t="s">
        <v>2504</v>
      </c>
      <c r="AF257" s="80" t="s">
        <v>3335</v>
      </c>
      <c r="AG257" s="80" t="s">
        <v>4027</v>
      </c>
      <c r="AH257" s="80" t="s">
        <v>4810</v>
      </c>
      <c r="AI257" s="80">
        <v>213</v>
      </c>
      <c r="AJ257" s="80">
        <v>0</v>
      </c>
      <c r="AK257" s="80">
        <v>1</v>
      </c>
      <c r="AL257" s="80">
        <v>0</v>
      </c>
      <c r="AM257" s="80" t="s">
        <v>5614</v>
      </c>
      <c r="AN257" s="102" t="str">
        <f>HYPERLINK("https://www.youtube.com/watch?v=tiXVoIP4hsE")</f>
        <v>https://www.youtube.com/watch?v=tiXVoIP4hsE</v>
      </c>
      <c r="AO257" s="2"/>
      <c r="AP257" s="3"/>
      <c r="AQ257" s="3"/>
      <c r="AR257" s="3"/>
      <c r="AS257" s="3"/>
    </row>
    <row r="258" spans="1:45" ht="15">
      <c r="A258" s="66" t="s">
        <v>457</v>
      </c>
      <c r="B258" s="67"/>
      <c r="C258" s="67"/>
      <c r="D258" s="68"/>
      <c r="E258" s="70"/>
      <c r="F258" s="100" t="str">
        <f>HYPERLINK("https://i.ytimg.com/vi/h2oFquv96O8/default.jpg")</f>
        <v>https://i.ytimg.com/vi/h2oFquv96O8/default.jpg</v>
      </c>
      <c r="G258" s="67"/>
      <c r="H258" s="71"/>
      <c r="I258" s="72"/>
      <c r="J258" s="72"/>
      <c r="K258" s="71" t="s">
        <v>1498</v>
      </c>
      <c r="L258" s="75"/>
      <c r="M258" s="76">
        <v>7306.4267578125</v>
      </c>
      <c r="N258" s="76">
        <v>493.46649169921875</v>
      </c>
      <c r="O258" s="77"/>
      <c r="P258" s="78"/>
      <c r="Q258" s="78"/>
      <c r="R258" s="82"/>
      <c r="S258" s="82"/>
      <c r="T258" s="82"/>
      <c r="U258" s="82"/>
      <c r="V258" s="52"/>
      <c r="W258" s="52"/>
      <c r="X258" s="52"/>
      <c r="Y258" s="52"/>
      <c r="Z258" s="51"/>
      <c r="AA258" s="73">
        <v>258</v>
      </c>
      <c r="AB258" s="73"/>
      <c r="AC258" s="74"/>
      <c r="AD258" s="80" t="s">
        <v>1498</v>
      </c>
      <c r="AE258" s="80" t="s">
        <v>2505</v>
      </c>
      <c r="AF258" s="80" t="s">
        <v>3346</v>
      </c>
      <c r="AG258" s="80" t="s">
        <v>4040</v>
      </c>
      <c r="AH258" s="80" t="s">
        <v>4811</v>
      </c>
      <c r="AI258" s="80">
        <v>1629083</v>
      </c>
      <c r="AJ258" s="80">
        <v>1512</v>
      </c>
      <c r="AK258" s="80">
        <v>45964</v>
      </c>
      <c r="AL258" s="80">
        <v>1160</v>
      </c>
      <c r="AM258" s="80" t="s">
        <v>5614</v>
      </c>
      <c r="AN258" s="102" t="str">
        <f>HYPERLINK("https://www.youtube.com/watch?v=h2oFquv96O8")</f>
        <v>https://www.youtube.com/watch?v=h2oFquv96O8</v>
      </c>
      <c r="AO258" s="2"/>
      <c r="AP258" s="3"/>
      <c r="AQ258" s="3"/>
      <c r="AR258" s="3"/>
      <c r="AS258" s="3"/>
    </row>
    <row r="259" spans="1:45" ht="15">
      <c r="A259" s="66" t="s">
        <v>458</v>
      </c>
      <c r="B259" s="67"/>
      <c r="C259" s="67"/>
      <c r="D259" s="68"/>
      <c r="E259" s="70"/>
      <c r="F259" s="100" t="str">
        <f>HYPERLINK("https://i.ytimg.com/vi/CA3DxF1Og18/default.jpg")</f>
        <v>https://i.ytimg.com/vi/CA3DxF1Og18/default.jpg</v>
      </c>
      <c r="G259" s="67"/>
      <c r="H259" s="71"/>
      <c r="I259" s="72"/>
      <c r="J259" s="72"/>
      <c r="K259" s="71" t="s">
        <v>1499</v>
      </c>
      <c r="L259" s="75"/>
      <c r="M259" s="76">
        <v>7563.32470703125</v>
      </c>
      <c r="N259" s="76">
        <v>663.830810546875</v>
      </c>
      <c r="O259" s="77"/>
      <c r="P259" s="78"/>
      <c r="Q259" s="78"/>
      <c r="R259" s="82"/>
      <c r="S259" s="82"/>
      <c r="T259" s="82"/>
      <c r="U259" s="82"/>
      <c r="V259" s="52"/>
      <c r="W259" s="52"/>
      <c r="X259" s="52"/>
      <c r="Y259" s="52"/>
      <c r="Z259" s="51"/>
      <c r="AA259" s="73">
        <v>259</v>
      </c>
      <c r="AB259" s="73"/>
      <c r="AC259" s="74"/>
      <c r="AD259" s="80" t="s">
        <v>1499</v>
      </c>
      <c r="AE259" s="80" t="s">
        <v>2506</v>
      </c>
      <c r="AF259" s="80" t="s">
        <v>3347</v>
      </c>
      <c r="AG259" s="80" t="s">
        <v>4034</v>
      </c>
      <c r="AH259" s="80" t="s">
        <v>4812</v>
      </c>
      <c r="AI259" s="80">
        <v>1096182</v>
      </c>
      <c r="AJ259" s="80">
        <v>446</v>
      </c>
      <c r="AK259" s="80">
        <v>10782</v>
      </c>
      <c r="AL259" s="80">
        <v>374</v>
      </c>
      <c r="AM259" s="80" t="s">
        <v>5614</v>
      </c>
      <c r="AN259" s="102" t="str">
        <f>HYPERLINK("https://www.youtube.com/watch?v=CA3DxF1Og18")</f>
        <v>https://www.youtube.com/watch?v=CA3DxF1Og18</v>
      </c>
      <c r="AO259" s="2"/>
      <c r="AP259" s="3"/>
      <c r="AQ259" s="3"/>
      <c r="AR259" s="3"/>
      <c r="AS259" s="3"/>
    </row>
    <row r="260" spans="1:45" ht="15">
      <c r="A260" s="66" t="s">
        <v>459</v>
      </c>
      <c r="B260" s="67"/>
      <c r="C260" s="67"/>
      <c r="D260" s="68"/>
      <c r="E260" s="70"/>
      <c r="F260" s="100" t="str">
        <f>HYPERLINK("https://i.ytimg.com/vi/sSyppHJWXps/default.jpg")</f>
        <v>https://i.ytimg.com/vi/sSyppHJWXps/default.jpg</v>
      </c>
      <c r="G260" s="67"/>
      <c r="H260" s="71"/>
      <c r="I260" s="72"/>
      <c r="J260" s="72"/>
      <c r="K260" s="71" t="s">
        <v>1500</v>
      </c>
      <c r="L260" s="75"/>
      <c r="M260" s="76">
        <v>7684.6025390625</v>
      </c>
      <c r="N260" s="76">
        <v>804.1976318359375</v>
      </c>
      <c r="O260" s="77"/>
      <c r="P260" s="78"/>
      <c r="Q260" s="78"/>
      <c r="R260" s="82"/>
      <c r="S260" s="82"/>
      <c r="T260" s="82"/>
      <c r="U260" s="82"/>
      <c r="V260" s="52"/>
      <c r="W260" s="52"/>
      <c r="X260" s="52"/>
      <c r="Y260" s="52"/>
      <c r="Z260" s="51"/>
      <c r="AA260" s="73">
        <v>260</v>
      </c>
      <c r="AB260" s="73"/>
      <c r="AC260" s="74"/>
      <c r="AD260" s="80" t="s">
        <v>1500</v>
      </c>
      <c r="AE260" s="80" t="s">
        <v>2507</v>
      </c>
      <c r="AF260" s="80" t="s">
        <v>3335</v>
      </c>
      <c r="AG260" s="80" t="s">
        <v>4027</v>
      </c>
      <c r="AH260" s="80" t="s">
        <v>4813</v>
      </c>
      <c r="AI260" s="80">
        <v>145</v>
      </c>
      <c r="AJ260" s="80">
        <v>0</v>
      </c>
      <c r="AK260" s="80">
        <v>2</v>
      </c>
      <c r="AL260" s="80">
        <v>0</v>
      </c>
      <c r="AM260" s="80" t="s">
        <v>5614</v>
      </c>
      <c r="AN260" s="102" t="str">
        <f>HYPERLINK("https://www.youtube.com/watch?v=sSyppHJWXps")</f>
        <v>https://www.youtube.com/watch?v=sSyppHJWXps</v>
      </c>
      <c r="AO260" s="2"/>
      <c r="AP260" s="3"/>
      <c r="AQ260" s="3"/>
      <c r="AR260" s="3"/>
      <c r="AS260" s="3"/>
    </row>
    <row r="261" spans="1:45" ht="15">
      <c r="A261" s="66" t="s">
        <v>460</v>
      </c>
      <c r="B261" s="67"/>
      <c r="C261" s="67"/>
      <c r="D261" s="68"/>
      <c r="E261" s="70"/>
      <c r="F261" s="100" t="str">
        <f>HYPERLINK("https://i.ytimg.com/vi/thqUPivFjr4/default.jpg")</f>
        <v>https://i.ytimg.com/vi/thqUPivFjr4/default.jpg</v>
      </c>
      <c r="G261" s="67"/>
      <c r="H261" s="71"/>
      <c r="I261" s="72"/>
      <c r="J261" s="72"/>
      <c r="K261" s="71" t="s">
        <v>1501</v>
      </c>
      <c r="L261" s="75"/>
      <c r="M261" s="76">
        <v>7752.9775390625</v>
      </c>
      <c r="N261" s="76">
        <v>808.6527709960938</v>
      </c>
      <c r="O261" s="77"/>
      <c r="P261" s="78"/>
      <c r="Q261" s="78"/>
      <c r="R261" s="82"/>
      <c r="S261" s="82"/>
      <c r="T261" s="82"/>
      <c r="U261" s="82"/>
      <c r="V261" s="52"/>
      <c r="W261" s="52"/>
      <c r="X261" s="52"/>
      <c r="Y261" s="52"/>
      <c r="Z261" s="51"/>
      <c r="AA261" s="73">
        <v>261</v>
      </c>
      <c r="AB261" s="73"/>
      <c r="AC261" s="74"/>
      <c r="AD261" s="80" t="s">
        <v>1501</v>
      </c>
      <c r="AE261" s="80" t="s">
        <v>2508</v>
      </c>
      <c r="AF261" s="80" t="s">
        <v>3335</v>
      </c>
      <c r="AG261" s="80" t="s">
        <v>4027</v>
      </c>
      <c r="AH261" s="80" t="s">
        <v>4814</v>
      </c>
      <c r="AI261" s="80">
        <v>48</v>
      </c>
      <c r="AJ261" s="80">
        <v>0</v>
      </c>
      <c r="AK261" s="80">
        <v>3</v>
      </c>
      <c r="AL261" s="80">
        <v>0</v>
      </c>
      <c r="AM261" s="80" t="s">
        <v>5614</v>
      </c>
      <c r="AN261" s="102" t="str">
        <f>HYPERLINK("https://www.youtube.com/watch?v=thqUPivFjr4")</f>
        <v>https://www.youtube.com/watch?v=thqUPivFjr4</v>
      </c>
      <c r="AO261" s="2"/>
      <c r="AP261" s="3"/>
      <c r="AQ261" s="3"/>
      <c r="AR261" s="3"/>
      <c r="AS261" s="3"/>
    </row>
    <row r="262" spans="1:45" ht="15">
      <c r="A262" s="66" t="s">
        <v>461</v>
      </c>
      <c r="B262" s="67"/>
      <c r="C262" s="67"/>
      <c r="D262" s="68"/>
      <c r="E262" s="70"/>
      <c r="F262" s="100" t="str">
        <f>HYPERLINK("https://i.ytimg.com/vi/uNDoT9mchiU/default.jpg")</f>
        <v>https://i.ytimg.com/vi/uNDoT9mchiU/default.jpg</v>
      </c>
      <c r="G262" s="67"/>
      <c r="H262" s="71"/>
      <c r="I262" s="72"/>
      <c r="J262" s="72"/>
      <c r="K262" s="71" t="s">
        <v>1502</v>
      </c>
      <c r="L262" s="75"/>
      <c r="M262" s="76">
        <v>7232.2060546875</v>
      </c>
      <c r="N262" s="76">
        <v>458.43414306640625</v>
      </c>
      <c r="O262" s="77"/>
      <c r="P262" s="78"/>
      <c r="Q262" s="78"/>
      <c r="R262" s="82"/>
      <c r="S262" s="82"/>
      <c r="T262" s="82"/>
      <c r="U262" s="82"/>
      <c r="V262" s="52"/>
      <c r="W262" s="52"/>
      <c r="X262" s="52"/>
      <c r="Y262" s="52"/>
      <c r="Z262" s="51"/>
      <c r="AA262" s="73">
        <v>262</v>
      </c>
      <c r="AB262" s="73"/>
      <c r="AC262" s="74"/>
      <c r="AD262" s="80" t="s">
        <v>1502</v>
      </c>
      <c r="AE262" s="80" t="s">
        <v>2509</v>
      </c>
      <c r="AF262" s="80" t="s">
        <v>3335</v>
      </c>
      <c r="AG262" s="80" t="s">
        <v>4027</v>
      </c>
      <c r="AH262" s="80" t="s">
        <v>4815</v>
      </c>
      <c r="AI262" s="80">
        <v>243</v>
      </c>
      <c r="AJ262" s="80">
        <v>0</v>
      </c>
      <c r="AK262" s="80">
        <v>9</v>
      </c>
      <c r="AL262" s="80">
        <v>0</v>
      </c>
      <c r="AM262" s="80" t="s">
        <v>5614</v>
      </c>
      <c r="AN262" s="102" t="str">
        <f>HYPERLINK("https://www.youtube.com/watch?v=uNDoT9mchiU")</f>
        <v>https://www.youtube.com/watch?v=uNDoT9mchiU</v>
      </c>
      <c r="AO262" s="2"/>
      <c r="AP262" s="3"/>
      <c r="AQ262" s="3"/>
      <c r="AR262" s="3"/>
      <c r="AS262" s="3"/>
    </row>
    <row r="263" spans="1:45" ht="15">
      <c r="A263" s="66" t="s">
        <v>462</v>
      </c>
      <c r="B263" s="67"/>
      <c r="C263" s="67"/>
      <c r="D263" s="68"/>
      <c r="E263" s="70"/>
      <c r="F263" s="100" t="str">
        <f>HYPERLINK("https://i.ytimg.com/vi/LyporZY8IT4/default.jpg")</f>
        <v>https://i.ytimg.com/vi/LyporZY8IT4/default.jpg</v>
      </c>
      <c r="G263" s="67"/>
      <c r="H263" s="71"/>
      <c r="I263" s="72"/>
      <c r="J263" s="72"/>
      <c r="K263" s="71" t="s">
        <v>1503</v>
      </c>
      <c r="L263" s="75"/>
      <c r="M263" s="76">
        <v>8111.47021484375</v>
      </c>
      <c r="N263" s="76">
        <v>947.5116577148438</v>
      </c>
      <c r="O263" s="77"/>
      <c r="P263" s="78"/>
      <c r="Q263" s="78"/>
      <c r="R263" s="82"/>
      <c r="S263" s="82"/>
      <c r="T263" s="82"/>
      <c r="U263" s="82"/>
      <c r="V263" s="52"/>
      <c r="W263" s="52"/>
      <c r="X263" s="52"/>
      <c r="Y263" s="52"/>
      <c r="Z263" s="51"/>
      <c r="AA263" s="73">
        <v>263</v>
      </c>
      <c r="AB263" s="73"/>
      <c r="AC263" s="74"/>
      <c r="AD263" s="80" t="s">
        <v>1503</v>
      </c>
      <c r="AE263" s="80" t="s">
        <v>2510</v>
      </c>
      <c r="AF263" s="80" t="s">
        <v>3335</v>
      </c>
      <c r="AG263" s="80" t="s">
        <v>4027</v>
      </c>
      <c r="AH263" s="80" t="s">
        <v>4816</v>
      </c>
      <c r="AI263" s="80">
        <v>389</v>
      </c>
      <c r="AJ263" s="80">
        <v>0</v>
      </c>
      <c r="AK263" s="80">
        <v>8</v>
      </c>
      <c r="AL263" s="80">
        <v>0</v>
      </c>
      <c r="AM263" s="80" t="s">
        <v>5614</v>
      </c>
      <c r="AN263" s="102" t="str">
        <f>HYPERLINK("https://www.youtube.com/watch?v=LyporZY8IT4")</f>
        <v>https://www.youtube.com/watch?v=LyporZY8IT4</v>
      </c>
      <c r="AO263" s="2"/>
      <c r="AP263" s="3"/>
      <c r="AQ263" s="3"/>
      <c r="AR263" s="3"/>
      <c r="AS263" s="3"/>
    </row>
    <row r="264" spans="1:45" ht="15">
      <c r="A264" s="66" t="s">
        <v>463</v>
      </c>
      <c r="B264" s="67"/>
      <c r="C264" s="67"/>
      <c r="D264" s="68"/>
      <c r="E264" s="70"/>
      <c r="F264" s="100" t="str">
        <f>HYPERLINK("https://i.ytimg.com/vi/fboeUXoAJIA/default.jpg")</f>
        <v>https://i.ytimg.com/vi/fboeUXoAJIA/default.jpg</v>
      </c>
      <c r="G264" s="67"/>
      <c r="H264" s="71"/>
      <c r="I264" s="72"/>
      <c r="J264" s="72"/>
      <c r="K264" s="71" t="s">
        <v>1504</v>
      </c>
      <c r="L264" s="75"/>
      <c r="M264" s="76">
        <v>7675.099609375</v>
      </c>
      <c r="N264" s="76">
        <v>658.5331420898438</v>
      </c>
      <c r="O264" s="77"/>
      <c r="P264" s="78"/>
      <c r="Q264" s="78"/>
      <c r="R264" s="82"/>
      <c r="S264" s="82"/>
      <c r="T264" s="82"/>
      <c r="U264" s="82"/>
      <c r="V264" s="52"/>
      <c r="W264" s="52"/>
      <c r="X264" s="52"/>
      <c r="Y264" s="52"/>
      <c r="Z264" s="51"/>
      <c r="AA264" s="73">
        <v>264</v>
      </c>
      <c r="AB264" s="73"/>
      <c r="AC264" s="74"/>
      <c r="AD264" s="80" t="s">
        <v>1504</v>
      </c>
      <c r="AE264" s="80" t="s">
        <v>2511</v>
      </c>
      <c r="AF264" s="80" t="s">
        <v>3335</v>
      </c>
      <c r="AG264" s="80" t="s">
        <v>4027</v>
      </c>
      <c r="AH264" s="80" t="s">
        <v>4817</v>
      </c>
      <c r="AI264" s="80">
        <v>23</v>
      </c>
      <c r="AJ264" s="80">
        <v>0</v>
      </c>
      <c r="AK264" s="80">
        <v>1</v>
      </c>
      <c r="AL264" s="80">
        <v>0</v>
      </c>
      <c r="AM264" s="80" t="s">
        <v>5614</v>
      </c>
      <c r="AN264" s="102" t="str">
        <f>HYPERLINK("https://www.youtube.com/watch?v=fboeUXoAJIA")</f>
        <v>https://www.youtube.com/watch?v=fboeUXoAJIA</v>
      </c>
      <c r="AO264" s="2"/>
      <c r="AP264" s="3"/>
      <c r="AQ264" s="3"/>
      <c r="AR264" s="3"/>
      <c r="AS264" s="3"/>
    </row>
    <row r="265" spans="1:45" ht="15">
      <c r="A265" s="66" t="s">
        <v>464</v>
      </c>
      <c r="B265" s="67"/>
      <c r="C265" s="67"/>
      <c r="D265" s="68"/>
      <c r="E265" s="70"/>
      <c r="F265" s="100" t="str">
        <f>HYPERLINK("https://i.ytimg.com/vi/VvbfTWR3EGs/default.jpg")</f>
        <v>https://i.ytimg.com/vi/VvbfTWR3EGs/default.jpg</v>
      </c>
      <c r="G265" s="67"/>
      <c r="H265" s="71"/>
      <c r="I265" s="72"/>
      <c r="J265" s="72"/>
      <c r="K265" s="71" t="s">
        <v>1505</v>
      </c>
      <c r="L265" s="75"/>
      <c r="M265" s="76">
        <v>7551.6064453125</v>
      </c>
      <c r="N265" s="76">
        <v>615.8670654296875</v>
      </c>
      <c r="O265" s="77"/>
      <c r="P265" s="78"/>
      <c r="Q265" s="78"/>
      <c r="R265" s="82"/>
      <c r="S265" s="82"/>
      <c r="T265" s="82"/>
      <c r="U265" s="82"/>
      <c r="V265" s="52"/>
      <c r="W265" s="52"/>
      <c r="X265" s="52"/>
      <c r="Y265" s="52"/>
      <c r="Z265" s="51"/>
      <c r="AA265" s="73">
        <v>265</v>
      </c>
      <c r="AB265" s="73"/>
      <c r="AC265" s="74"/>
      <c r="AD265" s="80" t="s">
        <v>1505</v>
      </c>
      <c r="AE265" s="80" t="s">
        <v>2512</v>
      </c>
      <c r="AF265" s="80" t="s">
        <v>3335</v>
      </c>
      <c r="AG265" s="80" t="s">
        <v>4027</v>
      </c>
      <c r="AH265" s="80" t="s">
        <v>4818</v>
      </c>
      <c r="AI265" s="80">
        <v>108</v>
      </c>
      <c r="AJ265" s="80">
        <v>0</v>
      </c>
      <c r="AK265" s="80">
        <v>3</v>
      </c>
      <c r="AL265" s="80">
        <v>0</v>
      </c>
      <c r="AM265" s="80" t="s">
        <v>5614</v>
      </c>
      <c r="AN265" s="102" t="str">
        <f>HYPERLINK("https://www.youtube.com/watch?v=VvbfTWR3EGs")</f>
        <v>https://www.youtube.com/watch?v=VvbfTWR3EGs</v>
      </c>
      <c r="AO265" s="2"/>
      <c r="AP265" s="3"/>
      <c r="AQ265" s="3"/>
      <c r="AR265" s="3"/>
      <c r="AS265" s="3"/>
    </row>
    <row r="266" spans="1:45" ht="15">
      <c r="A266" s="66" t="s">
        <v>465</v>
      </c>
      <c r="B266" s="67"/>
      <c r="C266" s="67"/>
      <c r="D266" s="68"/>
      <c r="E266" s="70"/>
      <c r="F266" s="100" t="str">
        <f>HYPERLINK("https://i.ytimg.com/vi/4CHav0-1E6k/default.jpg")</f>
        <v>https://i.ytimg.com/vi/4CHav0-1E6k/default.jpg</v>
      </c>
      <c r="G266" s="67"/>
      <c r="H266" s="71"/>
      <c r="I266" s="72"/>
      <c r="J266" s="72"/>
      <c r="K266" s="71" t="s">
        <v>1506</v>
      </c>
      <c r="L266" s="75"/>
      <c r="M266" s="76">
        <v>7074.5</v>
      </c>
      <c r="N266" s="76">
        <v>397.73907470703125</v>
      </c>
      <c r="O266" s="77"/>
      <c r="P266" s="78"/>
      <c r="Q266" s="78"/>
      <c r="R266" s="82"/>
      <c r="S266" s="82"/>
      <c r="T266" s="82"/>
      <c r="U266" s="82"/>
      <c r="V266" s="52"/>
      <c r="W266" s="52"/>
      <c r="X266" s="52"/>
      <c r="Y266" s="52"/>
      <c r="Z266" s="51"/>
      <c r="AA266" s="73">
        <v>266</v>
      </c>
      <c r="AB266" s="73"/>
      <c r="AC266" s="74"/>
      <c r="AD266" s="80" t="s">
        <v>1506</v>
      </c>
      <c r="AE266" s="80" t="s">
        <v>2513</v>
      </c>
      <c r="AF266" s="80" t="s">
        <v>3335</v>
      </c>
      <c r="AG266" s="80" t="s">
        <v>4027</v>
      </c>
      <c r="AH266" s="80" t="s">
        <v>4819</v>
      </c>
      <c r="AI266" s="80">
        <v>186</v>
      </c>
      <c r="AJ266" s="80">
        <v>0</v>
      </c>
      <c r="AK266" s="80">
        <v>8</v>
      </c>
      <c r="AL266" s="80">
        <v>0</v>
      </c>
      <c r="AM266" s="80" t="s">
        <v>5614</v>
      </c>
      <c r="AN266" s="102" t="str">
        <f>HYPERLINK("https://www.youtube.com/watch?v=4CHav0-1E6k")</f>
        <v>https://www.youtube.com/watch?v=4CHav0-1E6k</v>
      </c>
      <c r="AO266" s="2"/>
      <c r="AP266" s="3"/>
      <c r="AQ266" s="3"/>
      <c r="AR266" s="3"/>
      <c r="AS266" s="3"/>
    </row>
    <row r="267" spans="1:45" ht="15">
      <c r="A267" s="66" t="s">
        <v>466</v>
      </c>
      <c r="B267" s="67"/>
      <c r="C267" s="67"/>
      <c r="D267" s="68"/>
      <c r="E267" s="70"/>
      <c r="F267" s="100" t="str">
        <f>HYPERLINK("https://i.ytimg.com/vi/rg0v7cJvOmM/default.jpg")</f>
        <v>https://i.ytimg.com/vi/rg0v7cJvOmM/default.jpg</v>
      </c>
      <c r="G267" s="67"/>
      <c r="H267" s="71"/>
      <c r="I267" s="72"/>
      <c r="J267" s="72"/>
      <c r="K267" s="71" t="s">
        <v>1507</v>
      </c>
      <c r="L267" s="75"/>
      <c r="M267" s="76">
        <v>7073.45263671875</v>
      </c>
      <c r="N267" s="76">
        <v>374.68194580078125</v>
      </c>
      <c r="O267" s="77"/>
      <c r="P267" s="78"/>
      <c r="Q267" s="78"/>
      <c r="R267" s="82"/>
      <c r="S267" s="82"/>
      <c r="T267" s="82"/>
      <c r="U267" s="82"/>
      <c r="V267" s="52"/>
      <c r="W267" s="52"/>
      <c r="X267" s="52"/>
      <c r="Y267" s="52"/>
      <c r="Z267" s="51"/>
      <c r="AA267" s="73">
        <v>267</v>
      </c>
      <c r="AB267" s="73"/>
      <c r="AC267" s="74"/>
      <c r="AD267" s="80" t="s">
        <v>1507</v>
      </c>
      <c r="AE267" s="80" t="s">
        <v>2514</v>
      </c>
      <c r="AF267" s="80" t="s">
        <v>3348</v>
      </c>
      <c r="AG267" s="80" t="s">
        <v>4041</v>
      </c>
      <c r="AH267" s="80" t="s">
        <v>4820</v>
      </c>
      <c r="AI267" s="80">
        <v>100</v>
      </c>
      <c r="AJ267" s="80">
        <v>0</v>
      </c>
      <c r="AK267" s="80">
        <v>3</v>
      </c>
      <c r="AL267" s="80">
        <v>0</v>
      </c>
      <c r="AM267" s="80" t="s">
        <v>5614</v>
      </c>
      <c r="AN267" s="102" t="str">
        <f>HYPERLINK("https://www.youtube.com/watch?v=rg0v7cJvOmM")</f>
        <v>https://www.youtube.com/watch?v=rg0v7cJvOmM</v>
      </c>
      <c r="AO267" s="2"/>
      <c r="AP267" s="3"/>
      <c r="AQ267" s="3"/>
      <c r="AR267" s="3"/>
      <c r="AS267" s="3"/>
    </row>
    <row r="268" spans="1:45" ht="15">
      <c r="A268" s="66" t="s">
        <v>226</v>
      </c>
      <c r="B268" s="67"/>
      <c r="C268" s="67"/>
      <c r="D268" s="68"/>
      <c r="E268" s="70"/>
      <c r="F268" s="100" t="str">
        <f>HYPERLINK("https://i.ytimg.com/vi/7BDab9pLbEA/default.jpg")</f>
        <v>https://i.ytimg.com/vi/7BDab9pLbEA/default.jpg</v>
      </c>
      <c r="G268" s="67"/>
      <c r="H268" s="71"/>
      <c r="I268" s="72"/>
      <c r="J268" s="72"/>
      <c r="K268" s="71" t="s">
        <v>1508</v>
      </c>
      <c r="L268" s="75"/>
      <c r="M268" s="76">
        <v>5744.00244140625</v>
      </c>
      <c r="N268" s="76">
        <v>2556.8037109375</v>
      </c>
      <c r="O268" s="77"/>
      <c r="P268" s="78"/>
      <c r="Q268" s="78"/>
      <c r="R268" s="82"/>
      <c r="S268" s="82"/>
      <c r="T268" s="82"/>
      <c r="U268" s="82"/>
      <c r="V268" s="52"/>
      <c r="W268" s="52"/>
      <c r="X268" s="52"/>
      <c r="Y268" s="52"/>
      <c r="Z268" s="51"/>
      <c r="AA268" s="73">
        <v>268</v>
      </c>
      <c r="AB268" s="73"/>
      <c r="AC268" s="74"/>
      <c r="AD268" s="80" t="s">
        <v>1508</v>
      </c>
      <c r="AE268" s="80" t="s">
        <v>2515</v>
      </c>
      <c r="AF268" s="80" t="s">
        <v>3349</v>
      </c>
      <c r="AG268" s="80" t="s">
        <v>3884</v>
      </c>
      <c r="AH268" s="80" t="s">
        <v>4821</v>
      </c>
      <c r="AI268" s="80">
        <v>36161</v>
      </c>
      <c r="AJ268" s="80">
        <v>22</v>
      </c>
      <c r="AK268" s="80">
        <v>335</v>
      </c>
      <c r="AL268" s="80">
        <v>24</v>
      </c>
      <c r="AM268" s="80" t="s">
        <v>5614</v>
      </c>
      <c r="AN268" s="102" t="str">
        <f>HYPERLINK("https://www.youtube.com/watch?v=7BDab9pLbEA")</f>
        <v>https://www.youtube.com/watch?v=7BDab9pLbEA</v>
      </c>
      <c r="AO268" s="2"/>
      <c r="AP268" s="3"/>
      <c r="AQ268" s="3"/>
      <c r="AR268" s="3"/>
      <c r="AS268" s="3"/>
    </row>
    <row r="269" spans="1:45" ht="15">
      <c r="A269" s="66" t="s">
        <v>467</v>
      </c>
      <c r="B269" s="67"/>
      <c r="C269" s="67"/>
      <c r="D269" s="68"/>
      <c r="E269" s="70"/>
      <c r="F269" s="100" t="str">
        <f>HYPERLINK("https://i.ytimg.com/vi/-YpCocmWxPA/default.jpg")</f>
        <v>https://i.ytimg.com/vi/-YpCocmWxPA/default.jpg</v>
      </c>
      <c r="G269" s="67"/>
      <c r="H269" s="71"/>
      <c r="I269" s="72"/>
      <c r="J269" s="72"/>
      <c r="K269" s="71" t="s">
        <v>1509</v>
      </c>
      <c r="L269" s="75"/>
      <c r="M269" s="76">
        <v>7465.86767578125</v>
      </c>
      <c r="N269" s="76">
        <v>3297.512451171875</v>
      </c>
      <c r="O269" s="77"/>
      <c r="P269" s="78"/>
      <c r="Q269" s="78"/>
      <c r="R269" s="82"/>
      <c r="S269" s="82"/>
      <c r="T269" s="82"/>
      <c r="U269" s="82"/>
      <c r="V269" s="52"/>
      <c r="W269" s="52"/>
      <c r="X269" s="52"/>
      <c r="Y269" s="52"/>
      <c r="Z269" s="51"/>
      <c r="AA269" s="73">
        <v>269</v>
      </c>
      <c r="AB269" s="73"/>
      <c r="AC269" s="74"/>
      <c r="AD269" s="80" t="s">
        <v>1509</v>
      </c>
      <c r="AE269" s="80" t="s">
        <v>2516</v>
      </c>
      <c r="AF269" s="80" t="s">
        <v>3350</v>
      </c>
      <c r="AG269" s="80" t="s">
        <v>4042</v>
      </c>
      <c r="AH269" s="80" t="s">
        <v>4822</v>
      </c>
      <c r="AI269" s="80">
        <v>1978194</v>
      </c>
      <c r="AJ269" s="80">
        <v>276</v>
      </c>
      <c r="AK269" s="80">
        <v>10628</v>
      </c>
      <c r="AL269" s="80">
        <v>542</v>
      </c>
      <c r="AM269" s="80" t="s">
        <v>5614</v>
      </c>
      <c r="AN269" s="102" t="str">
        <f>HYPERLINK("https://www.youtube.com/watch?v=-YpCocmWxPA")</f>
        <v>https://www.youtube.com/watch?v=-YpCocmWxPA</v>
      </c>
      <c r="AO269" s="2"/>
      <c r="AP269" s="3"/>
      <c r="AQ269" s="3"/>
      <c r="AR269" s="3"/>
      <c r="AS269" s="3"/>
    </row>
    <row r="270" spans="1:45" ht="15">
      <c r="A270" s="66" t="s">
        <v>468</v>
      </c>
      <c r="B270" s="67"/>
      <c r="C270" s="67"/>
      <c r="D270" s="68"/>
      <c r="E270" s="70"/>
      <c r="F270" s="100" t="str">
        <f>HYPERLINK("https://i.ytimg.com/vi/pRoQA3yld3E/default.jpg")</f>
        <v>https://i.ytimg.com/vi/pRoQA3yld3E/default.jpg</v>
      </c>
      <c r="G270" s="67"/>
      <c r="H270" s="71"/>
      <c r="I270" s="72"/>
      <c r="J270" s="72"/>
      <c r="K270" s="71" t="s">
        <v>1510</v>
      </c>
      <c r="L270" s="75"/>
      <c r="M270" s="76">
        <v>5173.27978515625</v>
      </c>
      <c r="N270" s="76">
        <v>1228.1495361328125</v>
      </c>
      <c r="O270" s="77"/>
      <c r="P270" s="78"/>
      <c r="Q270" s="78"/>
      <c r="R270" s="82"/>
      <c r="S270" s="82"/>
      <c r="T270" s="82"/>
      <c r="U270" s="82"/>
      <c r="V270" s="52"/>
      <c r="W270" s="52"/>
      <c r="X270" s="52"/>
      <c r="Y270" s="52"/>
      <c r="Z270" s="51"/>
      <c r="AA270" s="73">
        <v>270</v>
      </c>
      <c r="AB270" s="73"/>
      <c r="AC270" s="74"/>
      <c r="AD270" s="80" t="s">
        <v>1510</v>
      </c>
      <c r="AE270" s="80"/>
      <c r="AF270" s="80" t="s">
        <v>3351</v>
      </c>
      <c r="AG270" s="80" t="s">
        <v>4043</v>
      </c>
      <c r="AH270" s="80" t="s">
        <v>4823</v>
      </c>
      <c r="AI270" s="80">
        <v>488726</v>
      </c>
      <c r="AJ270" s="80">
        <v>41</v>
      </c>
      <c r="AK270" s="80">
        <v>716</v>
      </c>
      <c r="AL270" s="80">
        <v>57</v>
      </c>
      <c r="AM270" s="80" t="s">
        <v>5614</v>
      </c>
      <c r="AN270" s="102" t="str">
        <f>HYPERLINK("https://www.youtube.com/watch?v=pRoQA3yld3E")</f>
        <v>https://www.youtube.com/watch?v=pRoQA3yld3E</v>
      </c>
      <c r="AO270" s="2"/>
      <c r="AP270" s="3"/>
      <c r="AQ270" s="3"/>
      <c r="AR270" s="3"/>
      <c r="AS270" s="3"/>
    </row>
    <row r="271" spans="1:45" ht="15">
      <c r="A271" s="66" t="s">
        <v>469</v>
      </c>
      <c r="B271" s="67"/>
      <c r="C271" s="67"/>
      <c r="D271" s="68"/>
      <c r="E271" s="70"/>
      <c r="F271" s="100" t="str">
        <f>HYPERLINK("https://i.ytimg.com/vi/7Jl7gs67L5k/default.jpg")</f>
        <v>https://i.ytimg.com/vi/7Jl7gs67L5k/default.jpg</v>
      </c>
      <c r="G271" s="67"/>
      <c r="H271" s="71"/>
      <c r="I271" s="72"/>
      <c r="J271" s="72"/>
      <c r="K271" s="71" t="s">
        <v>1511</v>
      </c>
      <c r="L271" s="75"/>
      <c r="M271" s="76">
        <v>8734.6328125</v>
      </c>
      <c r="N271" s="76">
        <v>3995.218017578125</v>
      </c>
      <c r="O271" s="77"/>
      <c r="P271" s="78"/>
      <c r="Q271" s="78"/>
      <c r="R271" s="82"/>
      <c r="S271" s="82"/>
      <c r="T271" s="82"/>
      <c r="U271" s="82"/>
      <c r="V271" s="52"/>
      <c r="W271" s="52"/>
      <c r="X271" s="52"/>
      <c r="Y271" s="52"/>
      <c r="Z271" s="51"/>
      <c r="AA271" s="73">
        <v>271</v>
      </c>
      <c r="AB271" s="73"/>
      <c r="AC271" s="74"/>
      <c r="AD271" s="80" t="s">
        <v>1511</v>
      </c>
      <c r="AE271" s="80" t="s">
        <v>2517</v>
      </c>
      <c r="AF271" s="80" t="s">
        <v>3352</v>
      </c>
      <c r="AG271" s="80" t="s">
        <v>4044</v>
      </c>
      <c r="AH271" s="80" t="s">
        <v>4824</v>
      </c>
      <c r="AI271" s="80">
        <v>2375103</v>
      </c>
      <c r="AJ271" s="80">
        <v>1365</v>
      </c>
      <c r="AK271" s="80">
        <v>36987</v>
      </c>
      <c r="AL271" s="80">
        <v>1882</v>
      </c>
      <c r="AM271" s="80" t="s">
        <v>5614</v>
      </c>
      <c r="AN271" s="102" t="str">
        <f>HYPERLINK("https://www.youtube.com/watch?v=7Jl7gs67L5k")</f>
        <v>https://www.youtube.com/watch?v=7Jl7gs67L5k</v>
      </c>
      <c r="AO271" s="2"/>
      <c r="AP271" s="3"/>
      <c r="AQ271" s="3"/>
      <c r="AR271" s="3"/>
      <c r="AS271" s="3"/>
    </row>
    <row r="272" spans="1:45" ht="15">
      <c r="A272" s="66" t="s">
        <v>470</v>
      </c>
      <c r="B272" s="67"/>
      <c r="C272" s="67"/>
      <c r="D272" s="68"/>
      <c r="E272" s="70"/>
      <c r="F272" s="100" t="str">
        <f>HYPERLINK("https://i.ytimg.com/vi/LcNWYNp2MSw/default.jpg")</f>
        <v>https://i.ytimg.com/vi/LcNWYNp2MSw/default.jpg</v>
      </c>
      <c r="G272" s="67"/>
      <c r="H272" s="71"/>
      <c r="I272" s="72"/>
      <c r="J272" s="72"/>
      <c r="K272" s="71" t="s">
        <v>1512</v>
      </c>
      <c r="L272" s="75"/>
      <c r="M272" s="76">
        <v>5040.43359375</v>
      </c>
      <c r="N272" s="76">
        <v>4281.97509765625</v>
      </c>
      <c r="O272" s="77"/>
      <c r="P272" s="78"/>
      <c r="Q272" s="78"/>
      <c r="R272" s="82"/>
      <c r="S272" s="82"/>
      <c r="T272" s="82"/>
      <c r="U272" s="82"/>
      <c r="V272" s="52"/>
      <c r="W272" s="52"/>
      <c r="X272" s="52"/>
      <c r="Y272" s="52"/>
      <c r="Z272" s="51"/>
      <c r="AA272" s="73">
        <v>272</v>
      </c>
      <c r="AB272" s="73"/>
      <c r="AC272" s="74"/>
      <c r="AD272" s="80" t="s">
        <v>1512</v>
      </c>
      <c r="AE272" s="80" t="s">
        <v>2518</v>
      </c>
      <c r="AF272" s="80" t="s">
        <v>3353</v>
      </c>
      <c r="AG272" s="80" t="s">
        <v>3884</v>
      </c>
      <c r="AH272" s="80" t="s">
        <v>4825</v>
      </c>
      <c r="AI272" s="80">
        <v>1290635</v>
      </c>
      <c r="AJ272" s="80">
        <v>322</v>
      </c>
      <c r="AK272" s="80">
        <v>15004</v>
      </c>
      <c r="AL272" s="80">
        <v>420</v>
      </c>
      <c r="AM272" s="80" t="s">
        <v>5614</v>
      </c>
      <c r="AN272" s="102" t="str">
        <f>HYPERLINK("https://www.youtube.com/watch?v=LcNWYNp2MSw")</f>
        <v>https://www.youtube.com/watch?v=LcNWYNp2MSw</v>
      </c>
      <c r="AO272" s="2"/>
      <c r="AP272" s="3"/>
      <c r="AQ272" s="3"/>
      <c r="AR272" s="3"/>
      <c r="AS272" s="3"/>
    </row>
    <row r="273" spans="1:45" ht="15">
      <c r="A273" s="66" t="s">
        <v>471</v>
      </c>
      <c r="B273" s="67"/>
      <c r="C273" s="67"/>
      <c r="D273" s="68"/>
      <c r="E273" s="70"/>
      <c r="F273" s="100" t="str">
        <f>HYPERLINK("https://i.ytimg.com/vi/wMXYbA3OnrA/default.jpg")</f>
        <v>https://i.ytimg.com/vi/wMXYbA3OnrA/default.jpg</v>
      </c>
      <c r="G273" s="67"/>
      <c r="H273" s="71"/>
      <c r="I273" s="72"/>
      <c r="J273" s="72"/>
      <c r="K273" s="71" t="s">
        <v>1513</v>
      </c>
      <c r="L273" s="75"/>
      <c r="M273" s="76">
        <v>4653.365234375</v>
      </c>
      <c r="N273" s="76">
        <v>2987.957275390625</v>
      </c>
      <c r="O273" s="77"/>
      <c r="P273" s="78"/>
      <c r="Q273" s="78"/>
      <c r="R273" s="82"/>
      <c r="S273" s="82"/>
      <c r="T273" s="82"/>
      <c r="U273" s="82"/>
      <c r="V273" s="52"/>
      <c r="W273" s="52"/>
      <c r="X273" s="52"/>
      <c r="Y273" s="52"/>
      <c r="Z273" s="51"/>
      <c r="AA273" s="73">
        <v>273</v>
      </c>
      <c r="AB273" s="73"/>
      <c r="AC273" s="74"/>
      <c r="AD273" s="80" t="s">
        <v>1513</v>
      </c>
      <c r="AE273" s="80"/>
      <c r="AF273" s="80"/>
      <c r="AG273" s="80" t="s">
        <v>4045</v>
      </c>
      <c r="AH273" s="80" t="s">
        <v>4826</v>
      </c>
      <c r="AI273" s="80">
        <v>1598808</v>
      </c>
      <c r="AJ273" s="80">
        <v>146</v>
      </c>
      <c r="AK273" s="80">
        <v>11803</v>
      </c>
      <c r="AL273" s="80">
        <v>533</v>
      </c>
      <c r="AM273" s="80" t="s">
        <v>5614</v>
      </c>
      <c r="AN273" s="102" t="str">
        <f>HYPERLINK("https://www.youtube.com/watch?v=wMXYbA3OnrA")</f>
        <v>https://www.youtube.com/watch?v=wMXYbA3OnrA</v>
      </c>
      <c r="AO273" s="2"/>
      <c r="AP273" s="3"/>
      <c r="AQ273" s="3"/>
      <c r="AR273" s="3"/>
      <c r="AS273" s="3"/>
    </row>
    <row r="274" spans="1:45" ht="15">
      <c r="A274" s="66" t="s">
        <v>214</v>
      </c>
      <c r="B274" s="67"/>
      <c r="C274" s="67"/>
      <c r="D274" s="68"/>
      <c r="E274" s="70"/>
      <c r="F274" s="100" t="str">
        <f>HYPERLINK("https://i.ytimg.com/vi/9Kq2Y8kWsJI/default.jpg")</f>
        <v>https://i.ytimg.com/vi/9Kq2Y8kWsJI/default.jpg</v>
      </c>
      <c r="G274" s="67"/>
      <c r="H274" s="71"/>
      <c r="I274" s="72"/>
      <c r="J274" s="72"/>
      <c r="K274" s="71" t="s">
        <v>1514</v>
      </c>
      <c r="L274" s="75"/>
      <c r="M274" s="76">
        <v>5581.94970703125</v>
      </c>
      <c r="N274" s="76">
        <v>3354.016357421875</v>
      </c>
      <c r="O274" s="77"/>
      <c r="P274" s="78"/>
      <c r="Q274" s="78"/>
      <c r="R274" s="82"/>
      <c r="S274" s="82"/>
      <c r="T274" s="82"/>
      <c r="U274" s="82"/>
      <c r="V274" s="52"/>
      <c r="W274" s="52"/>
      <c r="X274" s="52"/>
      <c r="Y274" s="52"/>
      <c r="Z274" s="51"/>
      <c r="AA274" s="73">
        <v>274</v>
      </c>
      <c r="AB274" s="73"/>
      <c r="AC274" s="74"/>
      <c r="AD274" s="80" t="s">
        <v>1514</v>
      </c>
      <c r="AE274" s="80"/>
      <c r="AF274" s="80"/>
      <c r="AG274" s="80" t="s">
        <v>4046</v>
      </c>
      <c r="AH274" s="80" t="s">
        <v>4827</v>
      </c>
      <c r="AI274" s="80">
        <v>653</v>
      </c>
      <c r="AJ274" s="80">
        <v>0</v>
      </c>
      <c r="AK274" s="80">
        <v>7</v>
      </c>
      <c r="AL274" s="80">
        <v>2</v>
      </c>
      <c r="AM274" s="80" t="s">
        <v>5614</v>
      </c>
      <c r="AN274" s="102" t="str">
        <f>HYPERLINK("https://www.youtube.com/watch?v=9Kq2Y8kWsJI")</f>
        <v>https://www.youtube.com/watch?v=9Kq2Y8kWsJI</v>
      </c>
      <c r="AO274" s="2"/>
      <c r="AP274" s="3"/>
      <c r="AQ274" s="3"/>
      <c r="AR274" s="3"/>
      <c r="AS274" s="3"/>
    </row>
    <row r="275" spans="1:45" ht="15">
      <c r="A275" s="66" t="s">
        <v>472</v>
      </c>
      <c r="B275" s="67"/>
      <c r="C275" s="67"/>
      <c r="D275" s="68"/>
      <c r="E275" s="70"/>
      <c r="F275" s="100" t="str">
        <f>HYPERLINK("https://i.ytimg.com/vi/cdpqAtjcm1s/default.jpg")</f>
        <v>https://i.ytimg.com/vi/cdpqAtjcm1s/default.jpg</v>
      </c>
      <c r="G275" s="67"/>
      <c r="H275" s="71"/>
      <c r="I275" s="72"/>
      <c r="J275" s="72"/>
      <c r="K275" s="71" t="s">
        <v>1515</v>
      </c>
      <c r="L275" s="75"/>
      <c r="M275" s="76">
        <v>6124.32763671875</v>
      </c>
      <c r="N275" s="76">
        <v>2131.04052734375</v>
      </c>
      <c r="O275" s="77"/>
      <c r="P275" s="78"/>
      <c r="Q275" s="78"/>
      <c r="R275" s="82"/>
      <c r="S275" s="82"/>
      <c r="T275" s="82"/>
      <c r="U275" s="82"/>
      <c r="V275" s="52"/>
      <c r="W275" s="52"/>
      <c r="X275" s="52"/>
      <c r="Y275" s="52"/>
      <c r="Z275" s="51"/>
      <c r="AA275" s="73">
        <v>275</v>
      </c>
      <c r="AB275" s="73"/>
      <c r="AC275" s="74"/>
      <c r="AD275" s="80" t="s">
        <v>1515</v>
      </c>
      <c r="AE275" s="80" t="s">
        <v>2519</v>
      </c>
      <c r="AF275" s="80" t="s">
        <v>3354</v>
      </c>
      <c r="AG275" s="80" t="s">
        <v>4047</v>
      </c>
      <c r="AH275" s="80" t="s">
        <v>4828</v>
      </c>
      <c r="AI275" s="80">
        <v>1838626</v>
      </c>
      <c r="AJ275" s="80">
        <v>326</v>
      </c>
      <c r="AK275" s="80">
        <v>17372</v>
      </c>
      <c r="AL275" s="80">
        <v>792</v>
      </c>
      <c r="AM275" s="80" t="s">
        <v>5614</v>
      </c>
      <c r="AN275" s="102" t="str">
        <f>HYPERLINK("https://www.youtube.com/watch?v=cdpqAtjcm1s")</f>
        <v>https://www.youtube.com/watch?v=cdpqAtjcm1s</v>
      </c>
      <c r="AO275" s="2"/>
      <c r="AP275" s="3"/>
      <c r="AQ275" s="3"/>
      <c r="AR275" s="3"/>
      <c r="AS275" s="3"/>
    </row>
    <row r="276" spans="1:45" ht="15">
      <c r="A276" s="66" t="s">
        <v>223</v>
      </c>
      <c r="B276" s="67"/>
      <c r="C276" s="67"/>
      <c r="D276" s="68"/>
      <c r="E276" s="70"/>
      <c r="F276" s="100" t="str">
        <f>HYPERLINK("https://i.ytimg.com/vi/N_PieDGcG40/default.jpg")</f>
        <v>https://i.ytimg.com/vi/N_PieDGcG40/default.jpg</v>
      </c>
      <c r="G276" s="67"/>
      <c r="H276" s="71"/>
      <c r="I276" s="72"/>
      <c r="J276" s="72"/>
      <c r="K276" s="71" t="s">
        <v>1516</v>
      </c>
      <c r="L276" s="75"/>
      <c r="M276" s="76">
        <v>5741.2578125</v>
      </c>
      <c r="N276" s="76">
        <v>3785.4423828125</v>
      </c>
      <c r="O276" s="77"/>
      <c r="P276" s="78"/>
      <c r="Q276" s="78"/>
      <c r="R276" s="82"/>
      <c r="S276" s="82"/>
      <c r="T276" s="82"/>
      <c r="U276" s="82"/>
      <c r="V276" s="52"/>
      <c r="W276" s="52"/>
      <c r="X276" s="52"/>
      <c r="Y276" s="52"/>
      <c r="Z276" s="51"/>
      <c r="AA276" s="73">
        <v>276</v>
      </c>
      <c r="AB276" s="73"/>
      <c r="AC276" s="74"/>
      <c r="AD276" s="80" t="s">
        <v>1516</v>
      </c>
      <c r="AE276" s="80" t="s">
        <v>2520</v>
      </c>
      <c r="AF276" s="80" t="s">
        <v>3355</v>
      </c>
      <c r="AG276" s="80" t="s">
        <v>4048</v>
      </c>
      <c r="AH276" s="80" t="s">
        <v>4829</v>
      </c>
      <c r="AI276" s="80">
        <v>9683</v>
      </c>
      <c r="AJ276" s="80">
        <v>5</v>
      </c>
      <c r="AK276" s="80">
        <v>69</v>
      </c>
      <c r="AL276" s="80">
        <v>4</v>
      </c>
      <c r="AM276" s="80" t="s">
        <v>5614</v>
      </c>
      <c r="AN276" s="102" t="str">
        <f>HYPERLINK("https://www.youtube.com/watch?v=N_PieDGcG40")</f>
        <v>https://www.youtube.com/watch?v=N_PieDGcG40</v>
      </c>
      <c r="AO276" s="2"/>
      <c r="AP276" s="3"/>
      <c r="AQ276" s="3"/>
      <c r="AR276" s="3"/>
      <c r="AS276" s="3"/>
    </row>
    <row r="277" spans="1:45" ht="15">
      <c r="A277" s="66" t="s">
        <v>473</v>
      </c>
      <c r="B277" s="67"/>
      <c r="C277" s="67"/>
      <c r="D277" s="68"/>
      <c r="E277" s="70"/>
      <c r="F277" s="100" t="str">
        <f>HYPERLINK("https://i.ytimg.com/vi/n29P0Q11PRQ/default.jpg")</f>
        <v>https://i.ytimg.com/vi/n29P0Q11PRQ/default.jpg</v>
      </c>
      <c r="G277" s="67"/>
      <c r="H277" s="71"/>
      <c r="I277" s="72"/>
      <c r="J277" s="72"/>
      <c r="K277" s="71" t="s">
        <v>1517</v>
      </c>
      <c r="L277" s="75"/>
      <c r="M277" s="76">
        <v>7746.20703125</v>
      </c>
      <c r="N277" s="76">
        <v>1785.076904296875</v>
      </c>
      <c r="O277" s="77"/>
      <c r="P277" s="78"/>
      <c r="Q277" s="78"/>
      <c r="R277" s="82"/>
      <c r="S277" s="82"/>
      <c r="T277" s="82"/>
      <c r="U277" s="82"/>
      <c r="V277" s="52"/>
      <c r="W277" s="52"/>
      <c r="X277" s="52"/>
      <c r="Y277" s="52"/>
      <c r="Z277" s="51"/>
      <c r="AA277" s="73">
        <v>277</v>
      </c>
      <c r="AB277" s="73"/>
      <c r="AC277" s="74"/>
      <c r="AD277" s="80" t="s">
        <v>1517</v>
      </c>
      <c r="AE277" s="80" t="s">
        <v>2521</v>
      </c>
      <c r="AF277" s="80" t="s">
        <v>3356</v>
      </c>
      <c r="AG277" s="80" t="s">
        <v>4049</v>
      </c>
      <c r="AH277" s="80" t="s">
        <v>4830</v>
      </c>
      <c r="AI277" s="80">
        <v>5077330</v>
      </c>
      <c r="AJ277" s="80">
        <v>1185</v>
      </c>
      <c r="AK277" s="80">
        <v>103989</v>
      </c>
      <c r="AL277" s="80">
        <v>4419</v>
      </c>
      <c r="AM277" s="80" t="s">
        <v>5614</v>
      </c>
      <c r="AN277" s="102" t="str">
        <f>HYPERLINK("https://www.youtube.com/watch?v=n29P0Q11PRQ")</f>
        <v>https://www.youtube.com/watch?v=n29P0Q11PRQ</v>
      </c>
      <c r="AO277" s="2"/>
      <c r="AP277" s="3"/>
      <c r="AQ277" s="3"/>
      <c r="AR277" s="3"/>
      <c r="AS277" s="3"/>
    </row>
    <row r="278" spans="1:45" ht="15">
      <c r="A278" s="66" t="s">
        <v>474</v>
      </c>
      <c r="B278" s="67"/>
      <c r="C278" s="67"/>
      <c r="D278" s="68"/>
      <c r="E278" s="70"/>
      <c r="F278" s="100" t="str">
        <f>HYPERLINK("https://i.ytimg.com/vi/ZVCBBgT3Xfc/default.jpg")</f>
        <v>https://i.ytimg.com/vi/ZVCBBgT3Xfc/default.jpg</v>
      </c>
      <c r="G278" s="67"/>
      <c r="H278" s="71"/>
      <c r="I278" s="72"/>
      <c r="J278" s="72"/>
      <c r="K278" s="71" t="s">
        <v>1518</v>
      </c>
      <c r="L278" s="75"/>
      <c r="M278" s="76">
        <v>8263.4345703125</v>
      </c>
      <c r="N278" s="76">
        <v>3686.38720703125</v>
      </c>
      <c r="O278" s="77"/>
      <c r="P278" s="78"/>
      <c r="Q278" s="78"/>
      <c r="R278" s="82"/>
      <c r="S278" s="82"/>
      <c r="T278" s="82"/>
      <c r="U278" s="82"/>
      <c r="V278" s="52"/>
      <c r="W278" s="52"/>
      <c r="X278" s="52"/>
      <c r="Y278" s="52"/>
      <c r="Z278" s="51"/>
      <c r="AA278" s="73">
        <v>278</v>
      </c>
      <c r="AB278" s="73"/>
      <c r="AC278" s="74"/>
      <c r="AD278" s="80" t="s">
        <v>1518</v>
      </c>
      <c r="AE278" s="80" t="s">
        <v>2522</v>
      </c>
      <c r="AF278" s="80" t="s">
        <v>3357</v>
      </c>
      <c r="AG278" s="80" t="s">
        <v>4050</v>
      </c>
      <c r="AH278" s="80" t="s">
        <v>4831</v>
      </c>
      <c r="AI278" s="80">
        <v>2118237</v>
      </c>
      <c r="AJ278" s="80">
        <v>250</v>
      </c>
      <c r="AK278" s="80">
        <v>15712</v>
      </c>
      <c r="AL278" s="80">
        <v>660</v>
      </c>
      <c r="AM278" s="80" t="s">
        <v>5614</v>
      </c>
      <c r="AN278" s="102" t="str">
        <f>HYPERLINK("https://www.youtube.com/watch?v=ZVCBBgT3Xfc")</f>
        <v>https://www.youtube.com/watch?v=ZVCBBgT3Xfc</v>
      </c>
      <c r="AO278" s="2"/>
      <c r="AP278" s="3"/>
      <c r="AQ278" s="3"/>
      <c r="AR278" s="3"/>
      <c r="AS278" s="3"/>
    </row>
    <row r="279" spans="1:45" ht="15">
      <c r="A279" s="66" t="s">
        <v>475</v>
      </c>
      <c r="B279" s="67"/>
      <c r="C279" s="67"/>
      <c r="D279" s="68"/>
      <c r="E279" s="70"/>
      <c r="F279" s="100" t="str">
        <f>HYPERLINK("https://i.ytimg.com/vi/tyAt8B4Kppg/default.jpg")</f>
        <v>https://i.ytimg.com/vi/tyAt8B4Kppg/default.jpg</v>
      </c>
      <c r="G279" s="67"/>
      <c r="H279" s="71"/>
      <c r="I279" s="72"/>
      <c r="J279" s="72"/>
      <c r="K279" s="71" t="s">
        <v>1519</v>
      </c>
      <c r="L279" s="75"/>
      <c r="M279" s="76">
        <v>7991.08740234375</v>
      </c>
      <c r="N279" s="76">
        <v>3858.17919921875</v>
      </c>
      <c r="O279" s="77"/>
      <c r="P279" s="78"/>
      <c r="Q279" s="78"/>
      <c r="R279" s="82"/>
      <c r="S279" s="82"/>
      <c r="T279" s="82"/>
      <c r="U279" s="82"/>
      <c r="V279" s="52"/>
      <c r="W279" s="52"/>
      <c r="X279" s="52"/>
      <c r="Y279" s="52"/>
      <c r="Z279" s="51"/>
      <c r="AA279" s="73">
        <v>279</v>
      </c>
      <c r="AB279" s="73"/>
      <c r="AC279" s="74"/>
      <c r="AD279" s="80" t="s">
        <v>1519</v>
      </c>
      <c r="AE279" s="80" t="s">
        <v>2523</v>
      </c>
      <c r="AF279" s="80" t="s">
        <v>3358</v>
      </c>
      <c r="AG279" s="80" t="s">
        <v>4051</v>
      </c>
      <c r="AH279" s="80" t="s">
        <v>4832</v>
      </c>
      <c r="AI279" s="80">
        <v>302774</v>
      </c>
      <c r="AJ279" s="80">
        <v>42</v>
      </c>
      <c r="AK279" s="80">
        <v>2220</v>
      </c>
      <c r="AL279" s="80">
        <v>59</v>
      </c>
      <c r="AM279" s="80" t="s">
        <v>5614</v>
      </c>
      <c r="AN279" s="102" t="str">
        <f>HYPERLINK("https://www.youtube.com/watch?v=tyAt8B4Kppg")</f>
        <v>https://www.youtube.com/watch?v=tyAt8B4Kppg</v>
      </c>
      <c r="AO279" s="2"/>
      <c r="AP279" s="3"/>
      <c r="AQ279" s="3"/>
      <c r="AR279" s="3"/>
      <c r="AS279" s="3"/>
    </row>
    <row r="280" spans="1:45" ht="15">
      <c r="A280" s="66" t="s">
        <v>476</v>
      </c>
      <c r="B280" s="67"/>
      <c r="C280" s="67"/>
      <c r="D280" s="68"/>
      <c r="E280" s="70"/>
      <c r="F280" s="100" t="str">
        <f>HYPERLINK("https://i.ytimg.com/vi/ygOBFJzJmtU/default.jpg")</f>
        <v>https://i.ytimg.com/vi/ygOBFJzJmtU/default.jpg</v>
      </c>
      <c r="G280" s="67"/>
      <c r="H280" s="71"/>
      <c r="I280" s="72"/>
      <c r="J280" s="72"/>
      <c r="K280" s="71" t="s">
        <v>1520</v>
      </c>
      <c r="L280" s="75"/>
      <c r="M280" s="76">
        <v>5037.29541015625</v>
      </c>
      <c r="N280" s="76">
        <v>3798.10009765625</v>
      </c>
      <c r="O280" s="77"/>
      <c r="P280" s="78"/>
      <c r="Q280" s="78"/>
      <c r="R280" s="82"/>
      <c r="S280" s="82"/>
      <c r="T280" s="82"/>
      <c r="U280" s="82"/>
      <c r="V280" s="52"/>
      <c r="W280" s="52"/>
      <c r="X280" s="52"/>
      <c r="Y280" s="52"/>
      <c r="Z280" s="51"/>
      <c r="AA280" s="73">
        <v>280</v>
      </c>
      <c r="AB280" s="73"/>
      <c r="AC280" s="74"/>
      <c r="AD280" s="80" t="s">
        <v>1520</v>
      </c>
      <c r="AE280" s="80" t="s">
        <v>2524</v>
      </c>
      <c r="AF280" s="80" t="s">
        <v>3359</v>
      </c>
      <c r="AG280" s="80" t="s">
        <v>4052</v>
      </c>
      <c r="AH280" s="80" t="s">
        <v>4833</v>
      </c>
      <c r="AI280" s="80">
        <v>7579</v>
      </c>
      <c r="AJ280" s="80">
        <v>3</v>
      </c>
      <c r="AK280" s="80">
        <v>51</v>
      </c>
      <c r="AL280" s="80">
        <v>1</v>
      </c>
      <c r="AM280" s="80" t="s">
        <v>5614</v>
      </c>
      <c r="AN280" s="102" t="str">
        <f>HYPERLINK("https://www.youtube.com/watch?v=ygOBFJzJmtU")</f>
        <v>https://www.youtube.com/watch?v=ygOBFJzJmtU</v>
      </c>
      <c r="AO280" s="2"/>
      <c r="AP280" s="3"/>
      <c r="AQ280" s="3"/>
      <c r="AR280" s="3"/>
      <c r="AS280" s="3"/>
    </row>
    <row r="281" spans="1:45" ht="15">
      <c r="A281" s="66" t="s">
        <v>477</v>
      </c>
      <c r="B281" s="67"/>
      <c r="C281" s="67"/>
      <c r="D281" s="68"/>
      <c r="E281" s="70"/>
      <c r="F281" s="100" t="str">
        <f>HYPERLINK("https://i.ytimg.com/vi/60T5GbNfW-g/default.jpg")</f>
        <v>https://i.ytimg.com/vi/60T5GbNfW-g/default.jpg</v>
      </c>
      <c r="G281" s="67"/>
      <c r="H281" s="71"/>
      <c r="I281" s="72"/>
      <c r="J281" s="72"/>
      <c r="K281" s="71" t="s">
        <v>1521</v>
      </c>
      <c r="L281" s="75"/>
      <c r="M281" s="76">
        <v>7659.25244140625</v>
      </c>
      <c r="N281" s="76">
        <v>3521.71484375</v>
      </c>
      <c r="O281" s="77"/>
      <c r="P281" s="78"/>
      <c r="Q281" s="78"/>
      <c r="R281" s="82"/>
      <c r="S281" s="82"/>
      <c r="T281" s="82"/>
      <c r="U281" s="82"/>
      <c r="V281" s="52"/>
      <c r="W281" s="52"/>
      <c r="X281" s="52"/>
      <c r="Y281" s="52"/>
      <c r="Z281" s="51"/>
      <c r="AA281" s="73">
        <v>281</v>
      </c>
      <c r="AB281" s="73"/>
      <c r="AC281" s="74"/>
      <c r="AD281" s="80" t="s">
        <v>1521</v>
      </c>
      <c r="AE281" s="80" t="s">
        <v>2525</v>
      </c>
      <c r="AF281" s="80"/>
      <c r="AG281" s="80" t="s">
        <v>4053</v>
      </c>
      <c r="AH281" s="80" t="s">
        <v>4834</v>
      </c>
      <c r="AI281" s="80">
        <v>8416</v>
      </c>
      <c r="AJ281" s="80">
        <v>0</v>
      </c>
      <c r="AK281" s="80">
        <v>110</v>
      </c>
      <c r="AL281" s="80">
        <v>4</v>
      </c>
      <c r="AM281" s="80" t="s">
        <v>5614</v>
      </c>
      <c r="AN281" s="102" t="str">
        <f>HYPERLINK("https://www.youtube.com/watch?v=60T5GbNfW-g")</f>
        <v>https://www.youtube.com/watch?v=60T5GbNfW-g</v>
      </c>
      <c r="AO281" s="2"/>
      <c r="AP281" s="3"/>
      <c r="AQ281" s="3"/>
      <c r="AR281" s="3"/>
      <c r="AS281" s="3"/>
    </row>
    <row r="282" spans="1:45" ht="15">
      <c r="A282" s="66" t="s">
        <v>224</v>
      </c>
      <c r="B282" s="67"/>
      <c r="C282" s="67"/>
      <c r="D282" s="68"/>
      <c r="E282" s="70"/>
      <c r="F282" s="100" t="str">
        <f>HYPERLINK("https://i.ytimg.com/vi/7WRPHISBUJA/default.jpg")</f>
        <v>https://i.ytimg.com/vi/7WRPHISBUJA/default.jpg</v>
      </c>
      <c r="G282" s="67"/>
      <c r="H282" s="71"/>
      <c r="I282" s="72"/>
      <c r="J282" s="72"/>
      <c r="K282" s="71" t="s">
        <v>1522</v>
      </c>
      <c r="L282" s="75"/>
      <c r="M282" s="76">
        <v>5873.58203125</v>
      </c>
      <c r="N282" s="76">
        <v>4163.48193359375</v>
      </c>
      <c r="O282" s="77"/>
      <c r="P282" s="78"/>
      <c r="Q282" s="78"/>
      <c r="R282" s="82"/>
      <c r="S282" s="82"/>
      <c r="T282" s="82"/>
      <c r="U282" s="82"/>
      <c r="V282" s="52"/>
      <c r="W282" s="52"/>
      <c r="X282" s="52"/>
      <c r="Y282" s="52"/>
      <c r="Z282" s="51"/>
      <c r="AA282" s="73">
        <v>282</v>
      </c>
      <c r="AB282" s="73"/>
      <c r="AC282" s="74"/>
      <c r="AD282" s="80" t="s">
        <v>1522</v>
      </c>
      <c r="AE282" s="80" t="s">
        <v>2526</v>
      </c>
      <c r="AF282" s="80" t="s">
        <v>3360</v>
      </c>
      <c r="AG282" s="80" t="s">
        <v>4054</v>
      </c>
      <c r="AH282" s="80" t="s">
        <v>4835</v>
      </c>
      <c r="AI282" s="80">
        <v>5179</v>
      </c>
      <c r="AJ282" s="80">
        <v>3</v>
      </c>
      <c r="AK282" s="80">
        <v>91</v>
      </c>
      <c r="AL282" s="80">
        <v>1</v>
      </c>
      <c r="AM282" s="80" t="s">
        <v>5614</v>
      </c>
      <c r="AN282" s="102" t="str">
        <f>HYPERLINK("https://www.youtube.com/watch?v=7WRPHISBUJA")</f>
        <v>https://www.youtube.com/watch?v=7WRPHISBUJA</v>
      </c>
      <c r="AO282" s="2"/>
      <c r="AP282" s="3"/>
      <c r="AQ282" s="3"/>
      <c r="AR282" s="3"/>
      <c r="AS282" s="3"/>
    </row>
    <row r="283" spans="1:45" ht="15">
      <c r="A283" s="66" t="s">
        <v>193</v>
      </c>
      <c r="B283" s="67"/>
      <c r="C283" s="67"/>
      <c r="D283" s="68"/>
      <c r="E283" s="70"/>
      <c r="F283" s="100" t="str">
        <f>HYPERLINK("https://i.ytimg.com/vi/Eehz0RWUY_Y/default.jpg")</f>
        <v>https://i.ytimg.com/vi/Eehz0RWUY_Y/default.jpg</v>
      </c>
      <c r="G283" s="67"/>
      <c r="H283" s="71"/>
      <c r="I283" s="72"/>
      <c r="J283" s="72"/>
      <c r="K283" s="71" t="s">
        <v>1523</v>
      </c>
      <c r="L283" s="75"/>
      <c r="M283" s="76">
        <v>6036.4951171875</v>
      </c>
      <c r="N283" s="76">
        <v>4145.5078125</v>
      </c>
      <c r="O283" s="77"/>
      <c r="P283" s="78"/>
      <c r="Q283" s="78"/>
      <c r="R283" s="82"/>
      <c r="S283" s="82"/>
      <c r="T283" s="82"/>
      <c r="U283" s="82"/>
      <c r="V283" s="52"/>
      <c r="W283" s="52"/>
      <c r="X283" s="52"/>
      <c r="Y283" s="52"/>
      <c r="Z283" s="51"/>
      <c r="AA283" s="73">
        <v>283</v>
      </c>
      <c r="AB283" s="73"/>
      <c r="AC283" s="74"/>
      <c r="AD283" s="80" t="s">
        <v>1523</v>
      </c>
      <c r="AE283" s="80" t="s">
        <v>2527</v>
      </c>
      <c r="AF283" s="80"/>
      <c r="AG283" s="80" t="s">
        <v>4055</v>
      </c>
      <c r="AH283" s="80" t="s">
        <v>4836</v>
      </c>
      <c r="AI283" s="80">
        <v>843</v>
      </c>
      <c r="AJ283" s="80">
        <v>2</v>
      </c>
      <c r="AK283" s="80">
        <v>37</v>
      </c>
      <c r="AL283" s="80">
        <v>0</v>
      </c>
      <c r="AM283" s="80" t="s">
        <v>5614</v>
      </c>
      <c r="AN283" s="102" t="str">
        <f>HYPERLINK("https://www.youtube.com/watch?v=Eehz0RWUY_Y")</f>
        <v>https://www.youtube.com/watch?v=Eehz0RWUY_Y</v>
      </c>
      <c r="AO283" s="2"/>
      <c r="AP283" s="3"/>
      <c r="AQ283" s="3"/>
      <c r="AR283" s="3"/>
      <c r="AS283" s="3"/>
    </row>
    <row r="284" spans="1:45" ht="15">
      <c r="A284" s="66" t="s">
        <v>478</v>
      </c>
      <c r="B284" s="67"/>
      <c r="C284" s="67"/>
      <c r="D284" s="68"/>
      <c r="E284" s="70"/>
      <c r="F284" s="100" t="str">
        <f>HYPERLINK("https://i.ytimg.com/vi/oeIjPCWqTec/default.jpg")</f>
        <v>https://i.ytimg.com/vi/oeIjPCWqTec/default.jpg</v>
      </c>
      <c r="G284" s="67"/>
      <c r="H284" s="71"/>
      <c r="I284" s="72"/>
      <c r="J284" s="72"/>
      <c r="K284" s="71" t="s">
        <v>1524</v>
      </c>
      <c r="L284" s="75"/>
      <c r="M284" s="76">
        <v>8269.7001953125</v>
      </c>
      <c r="N284" s="76">
        <v>4509.3681640625</v>
      </c>
      <c r="O284" s="77"/>
      <c r="P284" s="78"/>
      <c r="Q284" s="78"/>
      <c r="R284" s="82"/>
      <c r="S284" s="82"/>
      <c r="T284" s="82"/>
      <c r="U284" s="82"/>
      <c r="V284" s="52"/>
      <c r="W284" s="52"/>
      <c r="X284" s="52"/>
      <c r="Y284" s="52"/>
      <c r="Z284" s="51"/>
      <c r="AA284" s="73">
        <v>284</v>
      </c>
      <c r="AB284" s="73"/>
      <c r="AC284" s="74"/>
      <c r="AD284" s="80" t="s">
        <v>1524</v>
      </c>
      <c r="AE284" s="80" t="s">
        <v>2528</v>
      </c>
      <c r="AF284" s="80" t="s">
        <v>3361</v>
      </c>
      <c r="AG284" s="80" t="s">
        <v>4056</v>
      </c>
      <c r="AH284" s="80" t="s">
        <v>4837</v>
      </c>
      <c r="AI284" s="80">
        <v>419221</v>
      </c>
      <c r="AJ284" s="80">
        <v>185</v>
      </c>
      <c r="AK284" s="80">
        <v>7757</v>
      </c>
      <c r="AL284" s="80">
        <v>346</v>
      </c>
      <c r="AM284" s="80" t="s">
        <v>5614</v>
      </c>
      <c r="AN284" s="102" t="str">
        <f>HYPERLINK("https://www.youtube.com/watch?v=oeIjPCWqTec")</f>
        <v>https://www.youtube.com/watch?v=oeIjPCWqTec</v>
      </c>
      <c r="AO284" s="2"/>
      <c r="AP284" s="3"/>
      <c r="AQ284" s="3"/>
      <c r="AR284" s="3"/>
      <c r="AS284" s="3"/>
    </row>
    <row r="285" spans="1:45" ht="15">
      <c r="A285" s="66" t="s">
        <v>479</v>
      </c>
      <c r="B285" s="67"/>
      <c r="C285" s="67"/>
      <c r="D285" s="68"/>
      <c r="E285" s="70"/>
      <c r="F285" s="100" t="str">
        <f>HYPERLINK("https://i.ytimg.com/vi/w2J6yB1vMjA/default.jpg")</f>
        <v>https://i.ytimg.com/vi/w2J6yB1vMjA/default.jpg</v>
      </c>
      <c r="G285" s="67"/>
      <c r="H285" s="71"/>
      <c r="I285" s="72"/>
      <c r="J285" s="72"/>
      <c r="K285" s="71" t="s">
        <v>1525</v>
      </c>
      <c r="L285" s="75"/>
      <c r="M285" s="76">
        <v>8109.89794921875</v>
      </c>
      <c r="N285" s="76">
        <v>4762.265625</v>
      </c>
      <c r="O285" s="77"/>
      <c r="P285" s="78"/>
      <c r="Q285" s="78"/>
      <c r="R285" s="82"/>
      <c r="S285" s="82"/>
      <c r="T285" s="82"/>
      <c r="U285" s="82"/>
      <c r="V285" s="52"/>
      <c r="W285" s="52"/>
      <c r="X285" s="52"/>
      <c r="Y285" s="52"/>
      <c r="Z285" s="51"/>
      <c r="AA285" s="73">
        <v>285</v>
      </c>
      <c r="AB285" s="73"/>
      <c r="AC285" s="74"/>
      <c r="AD285" s="80" t="s">
        <v>1525</v>
      </c>
      <c r="AE285" s="80"/>
      <c r="AF285" s="80" t="s">
        <v>3362</v>
      </c>
      <c r="AG285" s="80" t="s">
        <v>4057</v>
      </c>
      <c r="AH285" s="80" t="s">
        <v>4838</v>
      </c>
      <c r="AI285" s="80">
        <v>670</v>
      </c>
      <c r="AJ285" s="80">
        <v>0</v>
      </c>
      <c r="AK285" s="80">
        <v>1</v>
      </c>
      <c r="AL285" s="80">
        <v>0</v>
      </c>
      <c r="AM285" s="80" t="s">
        <v>5614</v>
      </c>
      <c r="AN285" s="102" t="str">
        <f>HYPERLINK("https://www.youtube.com/watch?v=w2J6yB1vMjA")</f>
        <v>https://www.youtube.com/watch?v=w2J6yB1vMjA</v>
      </c>
      <c r="AO285" s="2"/>
      <c r="AP285" s="3"/>
      <c r="AQ285" s="3"/>
      <c r="AR285" s="3"/>
      <c r="AS285" s="3"/>
    </row>
    <row r="286" spans="1:45" ht="15">
      <c r="A286" s="66" t="s">
        <v>480</v>
      </c>
      <c r="B286" s="67"/>
      <c r="C286" s="67"/>
      <c r="D286" s="68"/>
      <c r="E286" s="70"/>
      <c r="F286" s="100" t="str">
        <f>HYPERLINK("https://i.ytimg.com/vi/D14h2FbWd9Q/default.jpg")</f>
        <v>https://i.ytimg.com/vi/D14h2FbWd9Q/default.jpg</v>
      </c>
      <c r="G286" s="67"/>
      <c r="H286" s="71"/>
      <c r="I286" s="72"/>
      <c r="J286" s="72"/>
      <c r="K286" s="71" t="s">
        <v>1526</v>
      </c>
      <c r="L286" s="75"/>
      <c r="M286" s="76">
        <v>7978.26611328125</v>
      </c>
      <c r="N286" s="76">
        <v>4805.03857421875</v>
      </c>
      <c r="O286" s="77"/>
      <c r="P286" s="78"/>
      <c r="Q286" s="78"/>
      <c r="R286" s="82"/>
      <c r="S286" s="82"/>
      <c r="T286" s="82"/>
      <c r="U286" s="82"/>
      <c r="V286" s="52"/>
      <c r="W286" s="52"/>
      <c r="X286" s="52"/>
      <c r="Y286" s="52"/>
      <c r="Z286" s="51"/>
      <c r="AA286" s="73">
        <v>286</v>
      </c>
      <c r="AB286" s="73"/>
      <c r="AC286" s="74"/>
      <c r="AD286" s="80" t="s">
        <v>1526</v>
      </c>
      <c r="AE286" s="80" t="s">
        <v>2529</v>
      </c>
      <c r="AF286" s="80" t="s">
        <v>3363</v>
      </c>
      <c r="AG286" s="80" t="s">
        <v>4058</v>
      </c>
      <c r="AH286" s="80" t="s">
        <v>4839</v>
      </c>
      <c r="AI286" s="80">
        <v>1262522</v>
      </c>
      <c r="AJ286" s="80">
        <v>956</v>
      </c>
      <c r="AK286" s="80">
        <v>9032</v>
      </c>
      <c r="AL286" s="80">
        <v>784</v>
      </c>
      <c r="AM286" s="80" t="s">
        <v>5614</v>
      </c>
      <c r="AN286" s="102" t="str">
        <f>HYPERLINK("https://www.youtube.com/watch?v=D14h2FbWd9Q")</f>
        <v>https://www.youtube.com/watch?v=D14h2FbWd9Q</v>
      </c>
      <c r="AO286" s="2"/>
      <c r="AP286" s="3"/>
      <c r="AQ286" s="3"/>
      <c r="AR286" s="3"/>
      <c r="AS286" s="3"/>
    </row>
    <row r="287" spans="1:45" ht="15">
      <c r="A287" s="66" t="s">
        <v>481</v>
      </c>
      <c r="B287" s="67"/>
      <c r="C287" s="67"/>
      <c r="D287" s="68"/>
      <c r="E287" s="70"/>
      <c r="F287" s="100" t="str">
        <f>HYPERLINK("https://i.ytimg.com/vi/Xv_mARWiju4/default.jpg")</f>
        <v>https://i.ytimg.com/vi/Xv_mARWiju4/default.jpg</v>
      </c>
      <c r="G287" s="67"/>
      <c r="H287" s="71"/>
      <c r="I287" s="72"/>
      <c r="J287" s="72"/>
      <c r="K287" s="71" t="s">
        <v>1300</v>
      </c>
      <c r="L287" s="75"/>
      <c r="M287" s="76">
        <v>8096.23779296875</v>
      </c>
      <c r="N287" s="76">
        <v>4458.62451171875</v>
      </c>
      <c r="O287" s="77"/>
      <c r="P287" s="78"/>
      <c r="Q287" s="78"/>
      <c r="R287" s="82"/>
      <c r="S287" s="82"/>
      <c r="T287" s="82"/>
      <c r="U287" s="82"/>
      <c r="V287" s="52"/>
      <c r="W287" s="52"/>
      <c r="X287" s="52"/>
      <c r="Y287" s="52"/>
      <c r="Z287" s="51"/>
      <c r="AA287" s="73">
        <v>287</v>
      </c>
      <c r="AB287" s="73"/>
      <c r="AC287" s="74"/>
      <c r="AD287" s="80" t="s">
        <v>1300</v>
      </c>
      <c r="AE287" s="80" t="s">
        <v>2530</v>
      </c>
      <c r="AF287" s="80"/>
      <c r="AG287" s="80" t="s">
        <v>4059</v>
      </c>
      <c r="AH287" s="80" t="s">
        <v>4840</v>
      </c>
      <c r="AI287" s="80">
        <v>46</v>
      </c>
      <c r="AJ287" s="80">
        <v>0</v>
      </c>
      <c r="AK287" s="80">
        <v>0</v>
      </c>
      <c r="AL287" s="80">
        <v>0</v>
      </c>
      <c r="AM287" s="80" t="s">
        <v>5614</v>
      </c>
      <c r="AN287" s="102" t="str">
        <f>HYPERLINK("https://www.youtube.com/watch?v=Xv_mARWiju4")</f>
        <v>https://www.youtube.com/watch?v=Xv_mARWiju4</v>
      </c>
      <c r="AO287" s="2"/>
      <c r="AP287" s="3"/>
      <c r="AQ287" s="3"/>
      <c r="AR287" s="3"/>
      <c r="AS287" s="3"/>
    </row>
    <row r="288" spans="1:45" ht="15">
      <c r="A288" s="66" t="s">
        <v>482</v>
      </c>
      <c r="B288" s="67"/>
      <c r="C288" s="67"/>
      <c r="D288" s="68"/>
      <c r="E288" s="70"/>
      <c r="F288" s="100" t="str">
        <f>HYPERLINK("https://i.ytimg.com/vi/hlSLzvbfm1g/default.jpg")</f>
        <v>https://i.ytimg.com/vi/hlSLzvbfm1g/default.jpg</v>
      </c>
      <c r="G288" s="67"/>
      <c r="H288" s="71"/>
      <c r="I288" s="72"/>
      <c r="J288" s="72"/>
      <c r="K288" s="71" t="s">
        <v>1527</v>
      </c>
      <c r="L288" s="75"/>
      <c r="M288" s="76">
        <v>7950.29931640625</v>
      </c>
      <c r="N288" s="76">
        <v>4744.9775390625</v>
      </c>
      <c r="O288" s="77"/>
      <c r="P288" s="78"/>
      <c r="Q288" s="78"/>
      <c r="R288" s="82"/>
      <c r="S288" s="82"/>
      <c r="T288" s="82"/>
      <c r="U288" s="82"/>
      <c r="V288" s="52"/>
      <c r="W288" s="52"/>
      <c r="X288" s="52"/>
      <c r="Y288" s="52"/>
      <c r="Z288" s="51"/>
      <c r="AA288" s="73">
        <v>288</v>
      </c>
      <c r="AB288" s="73"/>
      <c r="AC288" s="74"/>
      <c r="AD288" s="80" t="s">
        <v>1527</v>
      </c>
      <c r="AE288" s="80" t="s">
        <v>2531</v>
      </c>
      <c r="AF288" s="80" t="s">
        <v>3364</v>
      </c>
      <c r="AG288" s="80" t="s">
        <v>4060</v>
      </c>
      <c r="AH288" s="80" t="s">
        <v>4841</v>
      </c>
      <c r="AI288" s="80">
        <v>13</v>
      </c>
      <c r="AJ288" s="80">
        <v>0</v>
      </c>
      <c r="AK288" s="80">
        <v>0</v>
      </c>
      <c r="AL288" s="80">
        <v>0</v>
      </c>
      <c r="AM288" s="80" t="s">
        <v>5614</v>
      </c>
      <c r="AN288" s="102" t="str">
        <f>HYPERLINK("https://www.youtube.com/watch?v=hlSLzvbfm1g")</f>
        <v>https://www.youtube.com/watch?v=hlSLzvbfm1g</v>
      </c>
      <c r="AO288" s="2"/>
      <c r="AP288" s="3"/>
      <c r="AQ288" s="3"/>
      <c r="AR288" s="3"/>
      <c r="AS288" s="3"/>
    </row>
    <row r="289" spans="1:45" ht="15">
      <c r="A289" s="66" t="s">
        <v>483</v>
      </c>
      <c r="B289" s="67"/>
      <c r="C289" s="67"/>
      <c r="D289" s="68"/>
      <c r="E289" s="70"/>
      <c r="F289" s="100" t="str">
        <f>HYPERLINK("https://i.ytimg.com/vi/gYUSvebjYv4/default.jpg")</f>
        <v>https://i.ytimg.com/vi/gYUSvebjYv4/default.jpg</v>
      </c>
      <c r="G289" s="67"/>
      <c r="H289" s="71"/>
      <c r="I289" s="72"/>
      <c r="J289" s="72"/>
      <c r="K289" s="71" t="s">
        <v>1528</v>
      </c>
      <c r="L289" s="75"/>
      <c r="M289" s="76">
        <v>5982.80224609375</v>
      </c>
      <c r="N289" s="76">
        <v>2560.518798828125</v>
      </c>
      <c r="O289" s="77"/>
      <c r="P289" s="78"/>
      <c r="Q289" s="78"/>
      <c r="R289" s="82"/>
      <c r="S289" s="82"/>
      <c r="T289" s="82"/>
      <c r="U289" s="82"/>
      <c r="V289" s="52"/>
      <c r="W289" s="52"/>
      <c r="X289" s="52"/>
      <c r="Y289" s="52"/>
      <c r="Z289" s="51"/>
      <c r="AA289" s="73">
        <v>289</v>
      </c>
      <c r="AB289" s="73"/>
      <c r="AC289" s="74"/>
      <c r="AD289" s="80" t="s">
        <v>1528</v>
      </c>
      <c r="AE289" s="80" t="s">
        <v>2532</v>
      </c>
      <c r="AF289" s="80"/>
      <c r="AG289" s="80" t="s">
        <v>3883</v>
      </c>
      <c r="AH289" s="80" t="s">
        <v>4842</v>
      </c>
      <c r="AI289" s="80">
        <v>12955</v>
      </c>
      <c r="AJ289" s="80">
        <v>7</v>
      </c>
      <c r="AK289" s="80">
        <v>167</v>
      </c>
      <c r="AL289" s="80">
        <v>12</v>
      </c>
      <c r="AM289" s="80" t="s">
        <v>5614</v>
      </c>
      <c r="AN289" s="102" t="str">
        <f>HYPERLINK("https://www.youtube.com/watch?v=gYUSvebjYv4")</f>
        <v>https://www.youtube.com/watch?v=gYUSvebjYv4</v>
      </c>
      <c r="AO289" s="2"/>
      <c r="AP289" s="3"/>
      <c r="AQ289" s="3"/>
      <c r="AR289" s="3"/>
      <c r="AS289" s="3"/>
    </row>
    <row r="290" spans="1:45" ht="15">
      <c r="A290" s="66" t="s">
        <v>484</v>
      </c>
      <c r="B290" s="67"/>
      <c r="C290" s="67"/>
      <c r="D290" s="68"/>
      <c r="E290" s="70"/>
      <c r="F290" s="100" t="str">
        <f>HYPERLINK("https://i.ytimg.com/vi/grx2Iw38GbM/default.jpg")</f>
        <v>https://i.ytimg.com/vi/grx2Iw38GbM/default.jpg</v>
      </c>
      <c r="G290" s="67"/>
      <c r="H290" s="71"/>
      <c r="I290" s="72"/>
      <c r="J290" s="72"/>
      <c r="K290" s="71" t="s">
        <v>1529</v>
      </c>
      <c r="L290" s="75"/>
      <c r="M290" s="76">
        <v>5578.845703125</v>
      </c>
      <c r="N290" s="76">
        <v>4035.164306640625</v>
      </c>
      <c r="O290" s="77"/>
      <c r="P290" s="78"/>
      <c r="Q290" s="78"/>
      <c r="R290" s="82"/>
      <c r="S290" s="82"/>
      <c r="T290" s="82"/>
      <c r="U290" s="82"/>
      <c r="V290" s="52"/>
      <c r="W290" s="52"/>
      <c r="X290" s="52"/>
      <c r="Y290" s="52"/>
      <c r="Z290" s="51"/>
      <c r="AA290" s="73">
        <v>290</v>
      </c>
      <c r="AB290" s="73"/>
      <c r="AC290" s="74"/>
      <c r="AD290" s="80" t="s">
        <v>1529</v>
      </c>
      <c r="AE290" s="80" t="s">
        <v>2533</v>
      </c>
      <c r="AF290" s="80"/>
      <c r="AG290" s="80" t="s">
        <v>4061</v>
      </c>
      <c r="AH290" s="80" t="s">
        <v>4843</v>
      </c>
      <c r="AI290" s="80">
        <v>1540</v>
      </c>
      <c r="AJ290" s="80">
        <v>9</v>
      </c>
      <c r="AK290" s="80">
        <v>42</v>
      </c>
      <c r="AL290" s="80">
        <v>0</v>
      </c>
      <c r="AM290" s="80" t="s">
        <v>5614</v>
      </c>
      <c r="AN290" s="102" t="str">
        <f>HYPERLINK("https://www.youtube.com/watch?v=grx2Iw38GbM")</f>
        <v>https://www.youtube.com/watch?v=grx2Iw38GbM</v>
      </c>
      <c r="AO290" s="2"/>
      <c r="AP290" s="3"/>
      <c r="AQ290" s="3"/>
      <c r="AR290" s="3"/>
      <c r="AS290" s="3"/>
    </row>
    <row r="291" spans="1:45" ht="15">
      <c r="A291" s="66" t="s">
        <v>485</v>
      </c>
      <c r="B291" s="67"/>
      <c r="C291" s="67"/>
      <c r="D291" s="68"/>
      <c r="E291" s="70"/>
      <c r="F291" s="100" t="str">
        <f>HYPERLINK("https://i.ytimg.com/vi/x3B1E3Cx3Ms/default.jpg")</f>
        <v>https://i.ytimg.com/vi/x3B1E3Cx3Ms/default.jpg</v>
      </c>
      <c r="G291" s="67"/>
      <c r="H291" s="71"/>
      <c r="I291" s="72"/>
      <c r="J291" s="72"/>
      <c r="K291" s="71" t="s">
        <v>1300</v>
      </c>
      <c r="L291" s="75"/>
      <c r="M291" s="76">
        <v>7401.1083984375</v>
      </c>
      <c r="N291" s="76">
        <v>4829.90185546875</v>
      </c>
      <c r="O291" s="77"/>
      <c r="P291" s="78"/>
      <c r="Q291" s="78"/>
      <c r="R291" s="82"/>
      <c r="S291" s="82"/>
      <c r="T291" s="82"/>
      <c r="U291" s="82"/>
      <c r="V291" s="52"/>
      <c r="W291" s="52"/>
      <c r="X291" s="52"/>
      <c r="Y291" s="52"/>
      <c r="Z291" s="51"/>
      <c r="AA291" s="73">
        <v>291</v>
      </c>
      <c r="AB291" s="73"/>
      <c r="AC291" s="74"/>
      <c r="AD291" s="80" t="s">
        <v>1300</v>
      </c>
      <c r="AE291" s="80" t="s">
        <v>2534</v>
      </c>
      <c r="AF291" s="80"/>
      <c r="AG291" s="80" t="s">
        <v>4062</v>
      </c>
      <c r="AH291" s="80" t="s">
        <v>4844</v>
      </c>
      <c r="AI291" s="80">
        <v>818</v>
      </c>
      <c r="AJ291" s="80">
        <v>0</v>
      </c>
      <c r="AK291" s="80">
        <v>10</v>
      </c>
      <c r="AL291" s="80">
        <v>1</v>
      </c>
      <c r="AM291" s="80" t="s">
        <v>5614</v>
      </c>
      <c r="AN291" s="102" t="str">
        <f>HYPERLINK("https://www.youtube.com/watch?v=x3B1E3Cx3Ms")</f>
        <v>https://www.youtube.com/watch?v=x3B1E3Cx3Ms</v>
      </c>
      <c r="AO291" s="2"/>
      <c r="AP291" s="3"/>
      <c r="AQ291" s="3"/>
      <c r="AR291" s="3"/>
      <c r="AS291" s="3"/>
    </row>
    <row r="292" spans="1:45" ht="15">
      <c r="A292" s="66" t="s">
        <v>486</v>
      </c>
      <c r="B292" s="67"/>
      <c r="C292" s="67"/>
      <c r="D292" s="68"/>
      <c r="E292" s="70"/>
      <c r="F292" s="100" t="str">
        <f>HYPERLINK("https://i.ytimg.com/vi/RiFuO0PPvq4/default.jpg")</f>
        <v>https://i.ytimg.com/vi/RiFuO0PPvq4/default.jpg</v>
      </c>
      <c r="G292" s="67"/>
      <c r="H292" s="71"/>
      <c r="I292" s="72"/>
      <c r="J292" s="72"/>
      <c r="K292" s="71" t="s">
        <v>1530</v>
      </c>
      <c r="L292" s="75"/>
      <c r="M292" s="76">
        <v>6089.17919921875</v>
      </c>
      <c r="N292" s="76">
        <v>2857.080322265625</v>
      </c>
      <c r="O292" s="77"/>
      <c r="P292" s="78"/>
      <c r="Q292" s="78"/>
      <c r="R292" s="82"/>
      <c r="S292" s="82"/>
      <c r="T292" s="82"/>
      <c r="U292" s="82"/>
      <c r="V292" s="52"/>
      <c r="W292" s="52"/>
      <c r="X292" s="52"/>
      <c r="Y292" s="52"/>
      <c r="Z292" s="51"/>
      <c r="AA292" s="73">
        <v>292</v>
      </c>
      <c r="AB292" s="73"/>
      <c r="AC292" s="74"/>
      <c r="AD292" s="80" t="s">
        <v>1530</v>
      </c>
      <c r="AE292" s="80" t="s">
        <v>2535</v>
      </c>
      <c r="AF292" s="80" t="s">
        <v>3365</v>
      </c>
      <c r="AG292" s="80" t="s">
        <v>3884</v>
      </c>
      <c r="AH292" s="80" t="s">
        <v>4845</v>
      </c>
      <c r="AI292" s="80">
        <v>31719</v>
      </c>
      <c r="AJ292" s="80">
        <v>8</v>
      </c>
      <c r="AK292" s="80">
        <v>350</v>
      </c>
      <c r="AL292" s="80">
        <v>13</v>
      </c>
      <c r="AM292" s="80" t="s">
        <v>5614</v>
      </c>
      <c r="AN292" s="102" t="str">
        <f>HYPERLINK("https://www.youtube.com/watch?v=RiFuO0PPvq4")</f>
        <v>https://www.youtube.com/watch?v=RiFuO0PPvq4</v>
      </c>
      <c r="AO292" s="2"/>
      <c r="AP292" s="3"/>
      <c r="AQ292" s="3"/>
      <c r="AR292" s="3"/>
      <c r="AS292" s="3"/>
    </row>
    <row r="293" spans="1:45" ht="15">
      <c r="A293" s="66" t="s">
        <v>487</v>
      </c>
      <c r="B293" s="67"/>
      <c r="C293" s="67"/>
      <c r="D293" s="68"/>
      <c r="E293" s="70"/>
      <c r="F293" s="100" t="str">
        <f>HYPERLINK("https://i.ytimg.com/vi/kae7pcukcjM/default.jpg")</f>
        <v>https://i.ytimg.com/vi/kae7pcukcjM/default.jpg</v>
      </c>
      <c r="G293" s="67"/>
      <c r="H293" s="71"/>
      <c r="I293" s="72"/>
      <c r="J293" s="72"/>
      <c r="K293" s="71" t="s">
        <v>1531</v>
      </c>
      <c r="L293" s="75"/>
      <c r="M293" s="76">
        <v>7853.6201171875</v>
      </c>
      <c r="N293" s="76">
        <v>4949.80322265625</v>
      </c>
      <c r="O293" s="77"/>
      <c r="P293" s="78"/>
      <c r="Q293" s="78"/>
      <c r="R293" s="82"/>
      <c r="S293" s="82"/>
      <c r="T293" s="82"/>
      <c r="U293" s="82"/>
      <c r="V293" s="52"/>
      <c r="W293" s="52"/>
      <c r="X293" s="52"/>
      <c r="Y293" s="52"/>
      <c r="Z293" s="51"/>
      <c r="AA293" s="73">
        <v>293</v>
      </c>
      <c r="AB293" s="73"/>
      <c r="AC293" s="74"/>
      <c r="AD293" s="80" t="s">
        <v>1531</v>
      </c>
      <c r="AE293" s="80" t="s">
        <v>2536</v>
      </c>
      <c r="AF293" s="80"/>
      <c r="AG293" s="80" t="s">
        <v>4063</v>
      </c>
      <c r="AH293" s="80" t="s">
        <v>4846</v>
      </c>
      <c r="AI293" s="80">
        <v>1078</v>
      </c>
      <c r="AJ293" s="80">
        <v>3</v>
      </c>
      <c r="AK293" s="80">
        <v>20</v>
      </c>
      <c r="AL293" s="80">
        <v>2</v>
      </c>
      <c r="AM293" s="80" t="s">
        <v>5614</v>
      </c>
      <c r="AN293" s="102" t="str">
        <f>HYPERLINK("https://www.youtube.com/watch?v=kae7pcukcjM")</f>
        <v>https://www.youtube.com/watch?v=kae7pcukcjM</v>
      </c>
      <c r="AO293" s="2"/>
      <c r="AP293" s="3"/>
      <c r="AQ293" s="3"/>
      <c r="AR293" s="3"/>
      <c r="AS293" s="3"/>
    </row>
    <row r="294" spans="1:45" ht="15">
      <c r="A294" s="66" t="s">
        <v>488</v>
      </c>
      <c r="B294" s="67"/>
      <c r="C294" s="67"/>
      <c r="D294" s="68"/>
      <c r="E294" s="70"/>
      <c r="F294" s="100" t="str">
        <f>HYPERLINK("https://i.ytimg.com/vi/ebOtXsBsjxY/default.jpg")</f>
        <v>https://i.ytimg.com/vi/ebOtXsBsjxY/default.jpg</v>
      </c>
      <c r="G294" s="67"/>
      <c r="H294" s="71"/>
      <c r="I294" s="72"/>
      <c r="J294" s="72"/>
      <c r="K294" s="71" t="s">
        <v>1532</v>
      </c>
      <c r="L294" s="75"/>
      <c r="M294" s="76">
        <v>8130.89013671875</v>
      </c>
      <c r="N294" s="76">
        <v>4718.51953125</v>
      </c>
      <c r="O294" s="77"/>
      <c r="P294" s="78"/>
      <c r="Q294" s="78"/>
      <c r="R294" s="82"/>
      <c r="S294" s="82"/>
      <c r="T294" s="82"/>
      <c r="U294" s="82"/>
      <c r="V294" s="52"/>
      <c r="W294" s="52"/>
      <c r="X294" s="52"/>
      <c r="Y294" s="52"/>
      <c r="Z294" s="51"/>
      <c r="AA294" s="73">
        <v>294</v>
      </c>
      <c r="AB294" s="73"/>
      <c r="AC294" s="74"/>
      <c r="AD294" s="80" t="s">
        <v>1532</v>
      </c>
      <c r="AE294" s="80" t="s">
        <v>2537</v>
      </c>
      <c r="AF294" s="80" t="s">
        <v>3366</v>
      </c>
      <c r="AG294" s="80" t="s">
        <v>3957</v>
      </c>
      <c r="AH294" s="80" t="s">
        <v>4847</v>
      </c>
      <c r="AI294" s="80">
        <v>2944</v>
      </c>
      <c r="AJ294" s="80">
        <v>54</v>
      </c>
      <c r="AK294" s="80">
        <v>54</v>
      </c>
      <c r="AL294" s="80">
        <v>2</v>
      </c>
      <c r="AM294" s="80" t="s">
        <v>5614</v>
      </c>
      <c r="AN294" s="102" t="str">
        <f>HYPERLINK("https://www.youtube.com/watch?v=ebOtXsBsjxY")</f>
        <v>https://www.youtube.com/watch?v=ebOtXsBsjxY</v>
      </c>
      <c r="AO294" s="2"/>
      <c r="AP294" s="3"/>
      <c r="AQ294" s="3"/>
      <c r="AR294" s="3"/>
      <c r="AS294" s="3"/>
    </row>
    <row r="295" spans="1:45" ht="15">
      <c r="A295" s="66" t="s">
        <v>489</v>
      </c>
      <c r="B295" s="67"/>
      <c r="C295" s="67"/>
      <c r="D295" s="68"/>
      <c r="E295" s="70"/>
      <c r="F295" s="100" t="str">
        <f>HYPERLINK("https://i.ytimg.com/vi/_W8xyDkf7Vg/default.jpg")</f>
        <v>https://i.ytimg.com/vi/_W8xyDkf7Vg/default.jpg</v>
      </c>
      <c r="G295" s="67"/>
      <c r="H295" s="71"/>
      <c r="I295" s="72"/>
      <c r="J295" s="72"/>
      <c r="K295" s="71" t="s">
        <v>1533</v>
      </c>
      <c r="L295" s="75"/>
      <c r="M295" s="76">
        <v>7974.74609375</v>
      </c>
      <c r="N295" s="76">
        <v>4920.37890625</v>
      </c>
      <c r="O295" s="77"/>
      <c r="P295" s="78"/>
      <c r="Q295" s="78"/>
      <c r="R295" s="82"/>
      <c r="S295" s="82"/>
      <c r="T295" s="82"/>
      <c r="U295" s="82"/>
      <c r="V295" s="52"/>
      <c r="W295" s="52"/>
      <c r="X295" s="52"/>
      <c r="Y295" s="52"/>
      <c r="Z295" s="51"/>
      <c r="AA295" s="73">
        <v>295</v>
      </c>
      <c r="AB295" s="73"/>
      <c r="AC295" s="74"/>
      <c r="AD295" s="80" t="s">
        <v>1533</v>
      </c>
      <c r="AE295" s="80" t="s">
        <v>2538</v>
      </c>
      <c r="AF295" s="80" t="s">
        <v>3367</v>
      </c>
      <c r="AG295" s="80" t="s">
        <v>4064</v>
      </c>
      <c r="AH295" s="80" t="s">
        <v>4848</v>
      </c>
      <c r="AI295" s="80">
        <v>676</v>
      </c>
      <c r="AJ295" s="80">
        <v>0</v>
      </c>
      <c r="AK295" s="80">
        <v>3</v>
      </c>
      <c r="AL295" s="80">
        <v>0</v>
      </c>
      <c r="AM295" s="80" t="s">
        <v>5614</v>
      </c>
      <c r="AN295" s="102" t="str">
        <f>HYPERLINK("https://www.youtube.com/watch?v=_W8xyDkf7Vg")</f>
        <v>https://www.youtube.com/watch?v=_W8xyDkf7Vg</v>
      </c>
      <c r="AO295" s="2"/>
      <c r="AP295" s="3"/>
      <c r="AQ295" s="3"/>
      <c r="AR295" s="3"/>
      <c r="AS295" s="3"/>
    </row>
    <row r="296" spans="1:45" ht="15">
      <c r="A296" s="66" t="s">
        <v>490</v>
      </c>
      <c r="B296" s="67"/>
      <c r="C296" s="67"/>
      <c r="D296" s="68"/>
      <c r="E296" s="70"/>
      <c r="F296" s="100" t="str">
        <f>HYPERLINK("https://i.ytimg.com/vi/I3Sgs8kuQ4w/default.jpg")</f>
        <v>https://i.ytimg.com/vi/I3Sgs8kuQ4w/default.jpg</v>
      </c>
      <c r="G296" s="67"/>
      <c r="H296" s="71"/>
      <c r="I296" s="72"/>
      <c r="J296" s="72"/>
      <c r="K296" s="71" t="s">
        <v>1534</v>
      </c>
      <c r="L296" s="75"/>
      <c r="M296" s="76">
        <v>8256.486328125</v>
      </c>
      <c r="N296" s="76">
        <v>4346.15673828125</v>
      </c>
      <c r="O296" s="77"/>
      <c r="P296" s="78"/>
      <c r="Q296" s="78"/>
      <c r="R296" s="82"/>
      <c r="S296" s="82"/>
      <c r="T296" s="82"/>
      <c r="U296" s="82"/>
      <c r="V296" s="52"/>
      <c r="W296" s="52"/>
      <c r="X296" s="52"/>
      <c r="Y296" s="52"/>
      <c r="Z296" s="51"/>
      <c r="AA296" s="73">
        <v>296</v>
      </c>
      <c r="AB296" s="73"/>
      <c r="AC296" s="74"/>
      <c r="AD296" s="80" t="s">
        <v>1534</v>
      </c>
      <c r="AE296" s="80" t="s">
        <v>2539</v>
      </c>
      <c r="AF296" s="80"/>
      <c r="AG296" s="80" t="s">
        <v>4065</v>
      </c>
      <c r="AH296" s="80" t="s">
        <v>4849</v>
      </c>
      <c r="AI296" s="80">
        <v>150</v>
      </c>
      <c r="AJ296" s="80">
        <v>3</v>
      </c>
      <c r="AK296" s="80">
        <v>5</v>
      </c>
      <c r="AL296" s="80">
        <v>0</v>
      </c>
      <c r="AM296" s="80" t="s">
        <v>5614</v>
      </c>
      <c r="AN296" s="102" t="str">
        <f>HYPERLINK("https://www.youtube.com/watch?v=I3Sgs8kuQ4w")</f>
        <v>https://www.youtube.com/watch?v=I3Sgs8kuQ4w</v>
      </c>
      <c r="AO296" s="2"/>
      <c r="AP296" s="3"/>
      <c r="AQ296" s="3"/>
      <c r="AR296" s="3"/>
      <c r="AS296" s="3"/>
    </row>
    <row r="297" spans="1:45" ht="15">
      <c r="A297" s="66" t="s">
        <v>491</v>
      </c>
      <c r="B297" s="67"/>
      <c r="C297" s="67"/>
      <c r="D297" s="68"/>
      <c r="E297" s="70"/>
      <c r="F297" s="100" t="str">
        <f>HYPERLINK("https://i.ytimg.com/vi/JGMA4AwRmnQ/default.jpg")</f>
        <v>https://i.ytimg.com/vi/JGMA4AwRmnQ/default.jpg</v>
      </c>
      <c r="G297" s="67"/>
      <c r="H297" s="71"/>
      <c r="I297" s="72"/>
      <c r="J297" s="72"/>
      <c r="K297" s="71" t="s">
        <v>1535</v>
      </c>
      <c r="L297" s="75"/>
      <c r="M297" s="76">
        <v>8197.5322265625</v>
      </c>
      <c r="N297" s="76">
        <v>4380.71630859375</v>
      </c>
      <c r="O297" s="77"/>
      <c r="P297" s="78"/>
      <c r="Q297" s="78"/>
      <c r="R297" s="82"/>
      <c r="S297" s="82"/>
      <c r="T297" s="82"/>
      <c r="U297" s="82"/>
      <c r="V297" s="52"/>
      <c r="W297" s="52"/>
      <c r="X297" s="52"/>
      <c r="Y297" s="52"/>
      <c r="Z297" s="51"/>
      <c r="AA297" s="73">
        <v>297</v>
      </c>
      <c r="AB297" s="73"/>
      <c r="AC297" s="74"/>
      <c r="AD297" s="80" t="s">
        <v>1535</v>
      </c>
      <c r="AE297" s="80" t="s">
        <v>2540</v>
      </c>
      <c r="AF297" s="80" t="s">
        <v>3368</v>
      </c>
      <c r="AG297" s="80" t="s">
        <v>4066</v>
      </c>
      <c r="AH297" s="80" t="s">
        <v>4850</v>
      </c>
      <c r="AI297" s="80">
        <v>22060</v>
      </c>
      <c r="AJ297" s="80">
        <v>18</v>
      </c>
      <c r="AK297" s="80">
        <v>829</v>
      </c>
      <c r="AL297" s="80">
        <v>11</v>
      </c>
      <c r="AM297" s="80" t="s">
        <v>5614</v>
      </c>
      <c r="AN297" s="102" t="str">
        <f>HYPERLINK("https://www.youtube.com/watch?v=JGMA4AwRmnQ")</f>
        <v>https://www.youtube.com/watch?v=JGMA4AwRmnQ</v>
      </c>
      <c r="AO297" s="2"/>
      <c r="AP297" s="3"/>
      <c r="AQ297" s="3"/>
      <c r="AR297" s="3"/>
      <c r="AS297" s="3"/>
    </row>
    <row r="298" spans="1:45" ht="15">
      <c r="A298" s="66" t="s">
        <v>492</v>
      </c>
      <c r="B298" s="67"/>
      <c r="C298" s="67"/>
      <c r="D298" s="68"/>
      <c r="E298" s="70"/>
      <c r="F298" s="100" t="str">
        <f>HYPERLINK("https://i.ytimg.com/vi/5hxhykPyYwI/default.jpg")</f>
        <v>https://i.ytimg.com/vi/5hxhykPyYwI/default.jpg</v>
      </c>
      <c r="G298" s="67"/>
      <c r="H298" s="71"/>
      <c r="I298" s="72"/>
      <c r="J298" s="72"/>
      <c r="K298" s="71" t="s">
        <v>1536</v>
      </c>
      <c r="L298" s="75"/>
      <c r="M298" s="76">
        <v>8154.2177734375</v>
      </c>
      <c r="N298" s="76">
        <v>4670.25537109375</v>
      </c>
      <c r="O298" s="77"/>
      <c r="P298" s="78"/>
      <c r="Q298" s="78"/>
      <c r="R298" s="82"/>
      <c r="S298" s="82"/>
      <c r="T298" s="82"/>
      <c r="U298" s="82"/>
      <c r="V298" s="52"/>
      <c r="W298" s="52"/>
      <c r="X298" s="52"/>
      <c r="Y298" s="52"/>
      <c r="Z298" s="51"/>
      <c r="AA298" s="73">
        <v>298</v>
      </c>
      <c r="AB298" s="73"/>
      <c r="AC298" s="74"/>
      <c r="AD298" s="80" t="s">
        <v>1536</v>
      </c>
      <c r="AE298" s="80" t="s">
        <v>2541</v>
      </c>
      <c r="AF298" s="80"/>
      <c r="AG298" s="80" t="s">
        <v>4067</v>
      </c>
      <c r="AH298" s="80" t="s">
        <v>4851</v>
      </c>
      <c r="AI298" s="80">
        <v>228509</v>
      </c>
      <c r="AJ298" s="80">
        <v>483</v>
      </c>
      <c r="AK298" s="80">
        <v>3263</v>
      </c>
      <c r="AL298" s="80">
        <v>165</v>
      </c>
      <c r="AM298" s="80" t="s">
        <v>5614</v>
      </c>
      <c r="AN298" s="102" t="str">
        <f>HYPERLINK("https://www.youtube.com/watch?v=5hxhykPyYwI")</f>
        <v>https://www.youtube.com/watch?v=5hxhykPyYwI</v>
      </c>
      <c r="AO298" s="2"/>
      <c r="AP298" s="3"/>
      <c r="AQ298" s="3"/>
      <c r="AR298" s="3"/>
      <c r="AS298" s="3"/>
    </row>
    <row r="299" spans="1:45" ht="15">
      <c r="A299" s="66" t="s">
        <v>493</v>
      </c>
      <c r="B299" s="67"/>
      <c r="C299" s="67"/>
      <c r="D299" s="68"/>
      <c r="E299" s="70"/>
      <c r="F299" s="100" t="str">
        <f>HYPERLINK("https://i.ytimg.com/vi/hIaYfuR-4pM/default.jpg")</f>
        <v>https://i.ytimg.com/vi/hIaYfuR-4pM/default.jpg</v>
      </c>
      <c r="G299" s="67"/>
      <c r="H299" s="71"/>
      <c r="I299" s="72"/>
      <c r="J299" s="72"/>
      <c r="K299" s="71" t="s">
        <v>1537</v>
      </c>
      <c r="L299" s="75"/>
      <c r="M299" s="76">
        <v>7922.17236328125</v>
      </c>
      <c r="N299" s="76">
        <v>4956.99462890625</v>
      </c>
      <c r="O299" s="77"/>
      <c r="P299" s="78"/>
      <c r="Q299" s="78"/>
      <c r="R299" s="82"/>
      <c r="S299" s="82"/>
      <c r="T299" s="82"/>
      <c r="U299" s="82"/>
      <c r="V299" s="52"/>
      <c r="W299" s="52"/>
      <c r="X299" s="52"/>
      <c r="Y299" s="52"/>
      <c r="Z299" s="51"/>
      <c r="AA299" s="73">
        <v>299</v>
      </c>
      <c r="AB299" s="73"/>
      <c r="AC299" s="74"/>
      <c r="AD299" s="80" t="s">
        <v>1537</v>
      </c>
      <c r="AE299" s="80" t="s">
        <v>2542</v>
      </c>
      <c r="AF299" s="80" t="s">
        <v>3369</v>
      </c>
      <c r="AG299" s="80" t="s">
        <v>4068</v>
      </c>
      <c r="AH299" s="80" t="s">
        <v>4852</v>
      </c>
      <c r="AI299" s="80">
        <v>13125</v>
      </c>
      <c r="AJ299" s="80">
        <v>4</v>
      </c>
      <c r="AK299" s="80">
        <v>120</v>
      </c>
      <c r="AL299" s="80">
        <v>4</v>
      </c>
      <c r="AM299" s="80" t="s">
        <v>5614</v>
      </c>
      <c r="AN299" s="102" t="str">
        <f>HYPERLINK("https://www.youtube.com/watch?v=hIaYfuR-4pM")</f>
        <v>https://www.youtube.com/watch?v=hIaYfuR-4pM</v>
      </c>
      <c r="AO299" s="2"/>
      <c r="AP299" s="3"/>
      <c r="AQ299" s="3"/>
      <c r="AR299" s="3"/>
      <c r="AS299" s="3"/>
    </row>
    <row r="300" spans="1:45" ht="15">
      <c r="A300" s="66" t="s">
        <v>494</v>
      </c>
      <c r="B300" s="67"/>
      <c r="C300" s="67"/>
      <c r="D300" s="68"/>
      <c r="E300" s="70"/>
      <c r="F300" s="100" t="str">
        <f>HYPERLINK("https://i.ytimg.com/vi/OUYgXH5jgP0/default.jpg")</f>
        <v>https://i.ytimg.com/vi/OUYgXH5jgP0/default.jpg</v>
      </c>
      <c r="G300" s="67"/>
      <c r="H300" s="71"/>
      <c r="I300" s="72"/>
      <c r="J300" s="72"/>
      <c r="K300" s="71" t="s">
        <v>1538</v>
      </c>
      <c r="L300" s="75"/>
      <c r="M300" s="76">
        <v>8216.857421875</v>
      </c>
      <c r="N300" s="76">
        <v>4360.28515625</v>
      </c>
      <c r="O300" s="77"/>
      <c r="P300" s="78"/>
      <c r="Q300" s="78"/>
      <c r="R300" s="82"/>
      <c r="S300" s="82"/>
      <c r="T300" s="82"/>
      <c r="U300" s="82"/>
      <c r="V300" s="52"/>
      <c r="W300" s="52"/>
      <c r="X300" s="52"/>
      <c r="Y300" s="52"/>
      <c r="Z300" s="51"/>
      <c r="AA300" s="73">
        <v>300</v>
      </c>
      <c r="AB300" s="73"/>
      <c r="AC300" s="74"/>
      <c r="AD300" s="80" t="s">
        <v>1538</v>
      </c>
      <c r="AE300" s="80" t="s">
        <v>2543</v>
      </c>
      <c r="AF300" s="80"/>
      <c r="AG300" s="80" t="s">
        <v>4069</v>
      </c>
      <c r="AH300" s="80" t="s">
        <v>4853</v>
      </c>
      <c r="AI300" s="80">
        <v>401</v>
      </c>
      <c r="AJ300" s="80">
        <v>1</v>
      </c>
      <c r="AK300" s="80">
        <v>8</v>
      </c>
      <c r="AL300" s="80">
        <v>0</v>
      </c>
      <c r="AM300" s="80" t="s">
        <v>5614</v>
      </c>
      <c r="AN300" s="102" t="str">
        <f>HYPERLINK("https://www.youtube.com/watch?v=OUYgXH5jgP0")</f>
        <v>https://www.youtube.com/watch?v=OUYgXH5jgP0</v>
      </c>
      <c r="AO300" s="2"/>
      <c r="AP300" s="3"/>
      <c r="AQ300" s="3"/>
      <c r="AR300" s="3"/>
      <c r="AS300" s="3"/>
    </row>
    <row r="301" spans="1:45" ht="15">
      <c r="A301" s="66" t="s">
        <v>495</v>
      </c>
      <c r="B301" s="67"/>
      <c r="C301" s="67"/>
      <c r="D301" s="68"/>
      <c r="E301" s="70"/>
      <c r="F301" s="100" t="str">
        <f>HYPERLINK("https://i.ytimg.com/vi/DbxO6HzNZGY/default.jpg")</f>
        <v>https://i.ytimg.com/vi/DbxO6HzNZGY/default.jpg</v>
      </c>
      <c r="G301" s="67"/>
      <c r="H301" s="71"/>
      <c r="I301" s="72"/>
      <c r="J301" s="72"/>
      <c r="K301" s="71" t="s">
        <v>1539</v>
      </c>
      <c r="L301" s="75"/>
      <c r="M301" s="76">
        <v>8138.55908203125</v>
      </c>
      <c r="N301" s="76">
        <v>4777.5771484375</v>
      </c>
      <c r="O301" s="77"/>
      <c r="P301" s="78"/>
      <c r="Q301" s="78"/>
      <c r="R301" s="82"/>
      <c r="S301" s="82"/>
      <c r="T301" s="82"/>
      <c r="U301" s="82"/>
      <c r="V301" s="52"/>
      <c r="W301" s="52"/>
      <c r="X301" s="52"/>
      <c r="Y301" s="52"/>
      <c r="Z301" s="51"/>
      <c r="AA301" s="73">
        <v>301</v>
      </c>
      <c r="AB301" s="73"/>
      <c r="AC301" s="74"/>
      <c r="AD301" s="80" t="s">
        <v>1539</v>
      </c>
      <c r="AE301" s="80" t="s">
        <v>2544</v>
      </c>
      <c r="AF301" s="80" t="s">
        <v>3370</v>
      </c>
      <c r="AG301" s="80" t="s">
        <v>4070</v>
      </c>
      <c r="AH301" s="80" t="s">
        <v>4854</v>
      </c>
      <c r="AI301" s="80">
        <v>25623</v>
      </c>
      <c r="AJ301" s="80">
        <v>12</v>
      </c>
      <c r="AK301" s="80">
        <v>173</v>
      </c>
      <c r="AL301" s="80">
        <v>33</v>
      </c>
      <c r="AM301" s="80" t="s">
        <v>5614</v>
      </c>
      <c r="AN301" s="102" t="str">
        <f>HYPERLINK("https://www.youtube.com/watch?v=DbxO6HzNZGY")</f>
        <v>https://www.youtube.com/watch?v=DbxO6HzNZGY</v>
      </c>
      <c r="AO301" s="2"/>
      <c r="AP301" s="3"/>
      <c r="AQ301" s="3"/>
      <c r="AR301" s="3"/>
      <c r="AS301" s="3"/>
    </row>
    <row r="302" spans="1:45" ht="15">
      <c r="A302" s="66" t="s">
        <v>496</v>
      </c>
      <c r="B302" s="67"/>
      <c r="C302" s="67"/>
      <c r="D302" s="68"/>
      <c r="E302" s="70"/>
      <c r="F302" s="100" t="str">
        <f>HYPERLINK("https://i.ytimg.com/vi/z8ZxGAf9g2M/default.jpg")</f>
        <v>https://i.ytimg.com/vi/z8ZxGAf9g2M/default.jpg</v>
      </c>
      <c r="G302" s="67"/>
      <c r="H302" s="71"/>
      <c r="I302" s="72"/>
      <c r="J302" s="72"/>
      <c r="K302" s="71" t="s">
        <v>1540</v>
      </c>
      <c r="L302" s="75"/>
      <c r="M302" s="76">
        <v>8087.8603515625</v>
      </c>
      <c r="N302" s="76">
        <v>4529.76953125</v>
      </c>
      <c r="O302" s="77"/>
      <c r="P302" s="78"/>
      <c r="Q302" s="78"/>
      <c r="R302" s="82"/>
      <c r="S302" s="82"/>
      <c r="T302" s="82"/>
      <c r="U302" s="82"/>
      <c r="V302" s="52"/>
      <c r="W302" s="52"/>
      <c r="X302" s="52"/>
      <c r="Y302" s="52"/>
      <c r="Z302" s="51"/>
      <c r="AA302" s="73">
        <v>302</v>
      </c>
      <c r="AB302" s="73"/>
      <c r="AC302" s="74"/>
      <c r="AD302" s="80" t="s">
        <v>1540</v>
      </c>
      <c r="AE302" s="80" t="s">
        <v>2545</v>
      </c>
      <c r="AF302" s="80"/>
      <c r="AG302" s="80" t="s">
        <v>4071</v>
      </c>
      <c r="AH302" s="80" t="s">
        <v>4855</v>
      </c>
      <c r="AI302" s="80">
        <v>32006252</v>
      </c>
      <c r="AJ302" s="80">
        <v>15502</v>
      </c>
      <c r="AK302" s="80">
        <v>357074</v>
      </c>
      <c r="AL302" s="80">
        <v>10509</v>
      </c>
      <c r="AM302" s="80" t="s">
        <v>5614</v>
      </c>
      <c r="AN302" s="102" t="str">
        <f>HYPERLINK("https://www.youtube.com/watch?v=z8ZxGAf9g2M")</f>
        <v>https://www.youtube.com/watch?v=z8ZxGAf9g2M</v>
      </c>
      <c r="AO302" s="2"/>
      <c r="AP302" s="3"/>
      <c r="AQ302" s="3"/>
      <c r="AR302" s="3"/>
      <c r="AS302" s="3"/>
    </row>
    <row r="303" spans="1:45" ht="15">
      <c r="A303" s="66" t="s">
        <v>497</v>
      </c>
      <c r="B303" s="67"/>
      <c r="C303" s="67"/>
      <c r="D303" s="68"/>
      <c r="E303" s="70"/>
      <c r="F303" s="100" t="str">
        <f>HYPERLINK("https://i.ytimg.com/vi/Ghq7SeSQFHc/default.jpg")</f>
        <v>https://i.ytimg.com/vi/Ghq7SeSQFHc/default.jpg</v>
      </c>
      <c r="G303" s="67"/>
      <c r="H303" s="71"/>
      <c r="I303" s="72"/>
      <c r="J303" s="72"/>
      <c r="K303" s="71" t="s">
        <v>1541</v>
      </c>
      <c r="L303" s="75"/>
      <c r="M303" s="76">
        <v>8211.4658203125</v>
      </c>
      <c r="N303" s="76">
        <v>4715.5537109375</v>
      </c>
      <c r="O303" s="77"/>
      <c r="P303" s="78"/>
      <c r="Q303" s="78"/>
      <c r="R303" s="82"/>
      <c r="S303" s="82"/>
      <c r="T303" s="82"/>
      <c r="U303" s="82"/>
      <c r="V303" s="52"/>
      <c r="W303" s="52"/>
      <c r="X303" s="52"/>
      <c r="Y303" s="52"/>
      <c r="Z303" s="51"/>
      <c r="AA303" s="73">
        <v>303</v>
      </c>
      <c r="AB303" s="73"/>
      <c r="AC303" s="74"/>
      <c r="AD303" s="80" t="s">
        <v>1541</v>
      </c>
      <c r="AE303" s="80" t="s">
        <v>2546</v>
      </c>
      <c r="AF303" s="80" t="s">
        <v>3371</v>
      </c>
      <c r="AG303" s="80" t="s">
        <v>4072</v>
      </c>
      <c r="AH303" s="80" t="s">
        <v>4856</v>
      </c>
      <c r="AI303" s="80">
        <v>7237</v>
      </c>
      <c r="AJ303" s="80">
        <v>0</v>
      </c>
      <c r="AK303" s="80">
        <v>58</v>
      </c>
      <c r="AL303" s="80">
        <v>0</v>
      </c>
      <c r="AM303" s="80" t="s">
        <v>5614</v>
      </c>
      <c r="AN303" s="102" t="str">
        <f>HYPERLINK("https://www.youtube.com/watch?v=Ghq7SeSQFHc")</f>
        <v>https://www.youtube.com/watch?v=Ghq7SeSQFHc</v>
      </c>
      <c r="AO303" s="2"/>
      <c r="AP303" s="3"/>
      <c r="AQ303" s="3"/>
      <c r="AR303" s="3"/>
      <c r="AS303" s="3"/>
    </row>
    <row r="304" spans="1:45" ht="15">
      <c r="A304" s="66" t="s">
        <v>498</v>
      </c>
      <c r="B304" s="67"/>
      <c r="C304" s="67"/>
      <c r="D304" s="68"/>
      <c r="E304" s="70"/>
      <c r="F304" s="100" t="str">
        <f>HYPERLINK("https://i.ytimg.com/vi/jC1zHosiSUE/default.jpg")</f>
        <v>https://i.ytimg.com/vi/jC1zHosiSUE/default.jpg</v>
      </c>
      <c r="G304" s="67"/>
      <c r="H304" s="71"/>
      <c r="I304" s="72"/>
      <c r="J304" s="72"/>
      <c r="K304" s="71" t="s">
        <v>1542</v>
      </c>
      <c r="L304" s="75"/>
      <c r="M304" s="76">
        <v>8237.6357421875</v>
      </c>
      <c r="N304" s="76">
        <v>4451.90576171875</v>
      </c>
      <c r="O304" s="77"/>
      <c r="P304" s="78"/>
      <c r="Q304" s="78"/>
      <c r="R304" s="82"/>
      <c r="S304" s="82"/>
      <c r="T304" s="82"/>
      <c r="U304" s="82"/>
      <c r="V304" s="52"/>
      <c r="W304" s="52"/>
      <c r="X304" s="52"/>
      <c r="Y304" s="52"/>
      <c r="Z304" s="51"/>
      <c r="AA304" s="73">
        <v>304</v>
      </c>
      <c r="AB304" s="73"/>
      <c r="AC304" s="74"/>
      <c r="AD304" s="80" t="s">
        <v>1542</v>
      </c>
      <c r="AE304" s="80" t="s">
        <v>2547</v>
      </c>
      <c r="AF304" s="80"/>
      <c r="AG304" s="80" t="s">
        <v>4055</v>
      </c>
      <c r="AH304" s="80" t="s">
        <v>4857</v>
      </c>
      <c r="AI304" s="80">
        <v>141</v>
      </c>
      <c r="AJ304" s="80">
        <v>2</v>
      </c>
      <c r="AK304" s="80">
        <v>8</v>
      </c>
      <c r="AL304" s="80">
        <v>0</v>
      </c>
      <c r="AM304" s="80" t="s">
        <v>5614</v>
      </c>
      <c r="AN304" s="102" t="str">
        <f>HYPERLINK("https://www.youtube.com/watch?v=jC1zHosiSUE")</f>
        <v>https://www.youtube.com/watch?v=jC1zHosiSUE</v>
      </c>
      <c r="AO304" s="2"/>
      <c r="AP304" s="3"/>
      <c r="AQ304" s="3"/>
      <c r="AR304" s="3"/>
      <c r="AS304" s="3"/>
    </row>
    <row r="305" spans="1:45" ht="15">
      <c r="A305" s="66" t="s">
        <v>194</v>
      </c>
      <c r="B305" s="67"/>
      <c r="C305" s="67"/>
      <c r="D305" s="68"/>
      <c r="E305" s="70"/>
      <c r="F305" s="100" t="str">
        <f>HYPERLINK("https://i.ytimg.com/vi/Vb-FWqGNzjo/default.jpg")</f>
        <v>https://i.ytimg.com/vi/Vb-FWqGNzjo/default.jpg</v>
      </c>
      <c r="G305" s="67"/>
      <c r="H305" s="71"/>
      <c r="I305" s="72"/>
      <c r="J305" s="72"/>
      <c r="K305" s="71" t="s">
        <v>1543</v>
      </c>
      <c r="L305" s="75"/>
      <c r="M305" s="76">
        <v>5782.37841796875</v>
      </c>
      <c r="N305" s="76">
        <v>4474.94287109375</v>
      </c>
      <c r="O305" s="77"/>
      <c r="P305" s="78"/>
      <c r="Q305" s="78"/>
      <c r="R305" s="82"/>
      <c r="S305" s="82"/>
      <c r="T305" s="82"/>
      <c r="U305" s="82"/>
      <c r="V305" s="52"/>
      <c r="W305" s="52"/>
      <c r="X305" s="52"/>
      <c r="Y305" s="52"/>
      <c r="Z305" s="51"/>
      <c r="AA305" s="73">
        <v>305</v>
      </c>
      <c r="AB305" s="73"/>
      <c r="AC305" s="74"/>
      <c r="AD305" s="80" t="s">
        <v>1543</v>
      </c>
      <c r="AE305" s="80" t="s">
        <v>2548</v>
      </c>
      <c r="AF305" s="80"/>
      <c r="AG305" s="80" t="s">
        <v>4073</v>
      </c>
      <c r="AH305" s="80" t="s">
        <v>4858</v>
      </c>
      <c r="AI305" s="80">
        <v>307</v>
      </c>
      <c r="AJ305" s="80">
        <v>0</v>
      </c>
      <c r="AK305" s="80">
        <v>3</v>
      </c>
      <c r="AL305" s="80">
        <v>0</v>
      </c>
      <c r="AM305" s="80" t="s">
        <v>5614</v>
      </c>
      <c r="AN305" s="102" t="str">
        <f>HYPERLINK("https://www.youtube.com/watch?v=Vb-FWqGNzjo")</f>
        <v>https://www.youtube.com/watch?v=Vb-FWqGNzjo</v>
      </c>
      <c r="AO305" s="2"/>
      <c r="AP305" s="3"/>
      <c r="AQ305" s="3"/>
      <c r="AR305" s="3"/>
      <c r="AS305" s="3"/>
    </row>
    <row r="306" spans="1:45" ht="15">
      <c r="A306" s="66" t="s">
        <v>499</v>
      </c>
      <c r="B306" s="67"/>
      <c r="C306" s="67"/>
      <c r="D306" s="68"/>
      <c r="E306" s="70"/>
      <c r="F306" s="100" t="str">
        <f>HYPERLINK("https://i.ytimg.com/vi/ehZ752LraaE/default.jpg")</f>
        <v>https://i.ytimg.com/vi/ehZ752LraaE/default.jpg</v>
      </c>
      <c r="G306" s="67"/>
      <c r="H306" s="71"/>
      <c r="I306" s="72"/>
      <c r="J306" s="72"/>
      <c r="K306" s="71" t="s">
        <v>1544</v>
      </c>
      <c r="L306" s="75"/>
      <c r="M306" s="76">
        <v>4267.044921875</v>
      </c>
      <c r="N306" s="76">
        <v>3959.025634765625</v>
      </c>
      <c r="O306" s="77"/>
      <c r="P306" s="78"/>
      <c r="Q306" s="78"/>
      <c r="R306" s="82"/>
      <c r="S306" s="82"/>
      <c r="T306" s="82"/>
      <c r="U306" s="82"/>
      <c r="V306" s="52"/>
      <c r="W306" s="52"/>
      <c r="X306" s="52"/>
      <c r="Y306" s="52"/>
      <c r="Z306" s="51"/>
      <c r="AA306" s="73">
        <v>306</v>
      </c>
      <c r="AB306" s="73"/>
      <c r="AC306" s="74"/>
      <c r="AD306" s="80" t="s">
        <v>1544</v>
      </c>
      <c r="AE306" s="80" t="s">
        <v>2549</v>
      </c>
      <c r="AF306" s="80" t="s">
        <v>3372</v>
      </c>
      <c r="AG306" s="80" t="s">
        <v>3887</v>
      </c>
      <c r="AH306" s="80" t="s">
        <v>4859</v>
      </c>
      <c r="AI306" s="80">
        <v>38659</v>
      </c>
      <c r="AJ306" s="80">
        <v>0</v>
      </c>
      <c r="AK306" s="80">
        <v>522</v>
      </c>
      <c r="AL306" s="80">
        <v>75</v>
      </c>
      <c r="AM306" s="80" t="s">
        <v>5614</v>
      </c>
      <c r="AN306" s="102" t="str">
        <f>HYPERLINK("https://www.youtube.com/watch?v=ehZ752LraaE")</f>
        <v>https://www.youtube.com/watch?v=ehZ752LraaE</v>
      </c>
      <c r="AO306" s="2"/>
      <c r="AP306" s="3"/>
      <c r="AQ306" s="3"/>
      <c r="AR306" s="3"/>
      <c r="AS306" s="3"/>
    </row>
    <row r="307" spans="1:45" ht="15">
      <c r="A307" s="66" t="s">
        <v>500</v>
      </c>
      <c r="B307" s="67"/>
      <c r="C307" s="67"/>
      <c r="D307" s="68"/>
      <c r="E307" s="70"/>
      <c r="F307" s="100" t="str">
        <f>HYPERLINK("https://i.ytimg.com/vi/SVilDx5hCFc/default.jpg")</f>
        <v>https://i.ytimg.com/vi/SVilDx5hCFc/default.jpg</v>
      </c>
      <c r="G307" s="67"/>
      <c r="H307" s="71"/>
      <c r="I307" s="72"/>
      <c r="J307" s="72"/>
      <c r="K307" s="71" t="s">
        <v>1545</v>
      </c>
      <c r="L307" s="75"/>
      <c r="M307" s="76">
        <v>6342.24560546875</v>
      </c>
      <c r="N307" s="76">
        <v>6269.29736328125</v>
      </c>
      <c r="O307" s="77"/>
      <c r="P307" s="78"/>
      <c r="Q307" s="78"/>
      <c r="R307" s="82"/>
      <c r="S307" s="82"/>
      <c r="T307" s="82"/>
      <c r="U307" s="82"/>
      <c r="V307" s="52"/>
      <c r="W307" s="52"/>
      <c r="X307" s="52"/>
      <c r="Y307" s="52"/>
      <c r="Z307" s="51"/>
      <c r="AA307" s="73">
        <v>307</v>
      </c>
      <c r="AB307" s="73"/>
      <c r="AC307" s="74"/>
      <c r="AD307" s="80" t="s">
        <v>1545</v>
      </c>
      <c r="AE307" s="80" t="s">
        <v>2550</v>
      </c>
      <c r="AF307" s="80"/>
      <c r="AG307" s="80" t="s">
        <v>4073</v>
      </c>
      <c r="AH307" s="80" t="s">
        <v>4860</v>
      </c>
      <c r="AI307" s="80">
        <v>60</v>
      </c>
      <c r="AJ307" s="80">
        <v>0</v>
      </c>
      <c r="AK307" s="80">
        <v>0</v>
      </c>
      <c r="AL307" s="80">
        <v>0</v>
      </c>
      <c r="AM307" s="80" t="s">
        <v>5614</v>
      </c>
      <c r="AN307" s="102" t="str">
        <f>HYPERLINK("https://www.youtube.com/watch?v=SVilDx5hCFc")</f>
        <v>https://www.youtube.com/watch?v=SVilDx5hCFc</v>
      </c>
      <c r="AO307" s="2"/>
      <c r="AP307" s="3"/>
      <c r="AQ307" s="3"/>
      <c r="AR307" s="3"/>
      <c r="AS307" s="3"/>
    </row>
    <row r="308" spans="1:45" ht="15">
      <c r="A308" s="66" t="s">
        <v>501</v>
      </c>
      <c r="B308" s="67"/>
      <c r="C308" s="67"/>
      <c r="D308" s="68"/>
      <c r="E308" s="70"/>
      <c r="F308" s="100" t="str">
        <f>HYPERLINK("https://i.ytimg.com/vi/HvXfYYOteOg/default.jpg")</f>
        <v>https://i.ytimg.com/vi/HvXfYYOteOg/default.jpg</v>
      </c>
      <c r="G308" s="67"/>
      <c r="H308" s="71"/>
      <c r="I308" s="72"/>
      <c r="J308" s="72"/>
      <c r="K308" s="71" t="s">
        <v>1546</v>
      </c>
      <c r="L308" s="75"/>
      <c r="M308" s="76">
        <v>6348.77685546875</v>
      </c>
      <c r="N308" s="76">
        <v>6333.888671875</v>
      </c>
      <c r="O308" s="77"/>
      <c r="P308" s="78"/>
      <c r="Q308" s="78"/>
      <c r="R308" s="82"/>
      <c r="S308" s="82"/>
      <c r="T308" s="82"/>
      <c r="U308" s="82"/>
      <c r="V308" s="52"/>
      <c r="W308" s="52"/>
      <c r="X308" s="52"/>
      <c r="Y308" s="52"/>
      <c r="Z308" s="51"/>
      <c r="AA308" s="73">
        <v>308</v>
      </c>
      <c r="AB308" s="73"/>
      <c r="AC308" s="74"/>
      <c r="AD308" s="80" t="s">
        <v>1546</v>
      </c>
      <c r="AE308" s="80" t="s">
        <v>2551</v>
      </c>
      <c r="AF308" s="80" t="s">
        <v>3373</v>
      </c>
      <c r="AG308" s="80" t="s">
        <v>4074</v>
      </c>
      <c r="AH308" s="80" t="s">
        <v>4861</v>
      </c>
      <c r="AI308" s="80">
        <v>187968</v>
      </c>
      <c r="AJ308" s="80">
        <v>136</v>
      </c>
      <c r="AK308" s="80">
        <v>2122</v>
      </c>
      <c r="AL308" s="80">
        <v>205</v>
      </c>
      <c r="AM308" s="80" t="s">
        <v>5614</v>
      </c>
      <c r="AN308" s="102" t="str">
        <f>HYPERLINK("https://www.youtube.com/watch?v=HvXfYYOteOg")</f>
        <v>https://www.youtube.com/watch?v=HvXfYYOteOg</v>
      </c>
      <c r="AO308" s="2"/>
      <c r="AP308" s="3"/>
      <c r="AQ308" s="3"/>
      <c r="AR308" s="3"/>
      <c r="AS308" s="3"/>
    </row>
    <row r="309" spans="1:45" ht="15">
      <c r="A309" s="66" t="s">
        <v>502</v>
      </c>
      <c r="B309" s="67"/>
      <c r="C309" s="67"/>
      <c r="D309" s="68"/>
      <c r="E309" s="70"/>
      <c r="F309" s="100" t="str">
        <f>HYPERLINK("https://i.ytimg.com/vi/rl0dO_QkR7c/default.jpg")</f>
        <v>https://i.ytimg.com/vi/rl0dO_QkR7c/default.jpg</v>
      </c>
      <c r="G309" s="67"/>
      <c r="H309" s="71"/>
      <c r="I309" s="72"/>
      <c r="J309" s="72"/>
      <c r="K309" s="71" t="s">
        <v>1547</v>
      </c>
      <c r="L309" s="75"/>
      <c r="M309" s="76">
        <v>6236.70263671875</v>
      </c>
      <c r="N309" s="76">
        <v>6309.2109375</v>
      </c>
      <c r="O309" s="77"/>
      <c r="P309" s="78"/>
      <c r="Q309" s="78"/>
      <c r="R309" s="82"/>
      <c r="S309" s="82"/>
      <c r="T309" s="82"/>
      <c r="U309" s="82"/>
      <c r="V309" s="52"/>
      <c r="W309" s="52"/>
      <c r="X309" s="52"/>
      <c r="Y309" s="52"/>
      <c r="Z309" s="51"/>
      <c r="AA309" s="73">
        <v>309</v>
      </c>
      <c r="AB309" s="73"/>
      <c r="AC309" s="74"/>
      <c r="AD309" s="80" t="s">
        <v>1547</v>
      </c>
      <c r="AE309" s="80" t="s">
        <v>2552</v>
      </c>
      <c r="AF309" s="80"/>
      <c r="AG309" s="80" t="s">
        <v>4075</v>
      </c>
      <c r="AH309" s="80" t="s">
        <v>4862</v>
      </c>
      <c r="AI309" s="80">
        <v>18808</v>
      </c>
      <c r="AJ309" s="80">
        <v>6</v>
      </c>
      <c r="AK309" s="80">
        <v>95</v>
      </c>
      <c r="AL309" s="80">
        <v>8</v>
      </c>
      <c r="AM309" s="80" t="s">
        <v>5614</v>
      </c>
      <c r="AN309" s="102" t="str">
        <f>HYPERLINK("https://www.youtube.com/watch?v=rl0dO_QkR7c")</f>
        <v>https://www.youtube.com/watch?v=rl0dO_QkR7c</v>
      </c>
      <c r="AO309" s="2"/>
      <c r="AP309" s="3"/>
      <c r="AQ309" s="3"/>
      <c r="AR309" s="3"/>
      <c r="AS309" s="3"/>
    </row>
    <row r="310" spans="1:45" ht="15">
      <c r="A310" s="66" t="s">
        <v>503</v>
      </c>
      <c r="B310" s="67"/>
      <c r="C310" s="67"/>
      <c r="D310" s="68"/>
      <c r="E310" s="70"/>
      <c r="F310" s="100" t="str">
        <f>HYPERLINK("https://i.ytimg.com/vi/ZnUKjPs5_Xw/default.jpg")</f>
        <v>https://i.ytimg.com/vi/ZnUKjPs5_Xw/default.jpg</v>
      </c>
      <c r="G310" s="67"/>
      <c r="H310" s="71"/>
      <c r="I310" s="72"/>
      <c r="J310" s="72"/>
      <c r="K310" s="71" t="s">
        <v>1548</v>
      </c>
      <c r="L310" s="75"/>
      <c r="M310" s="76">
        <v>6666.90283203125</v>
      </c>
      <c r="N310" s="76">
        <v>6208.98974609375</v>
      </c>
      <c r="O310" s="77"/>
      <c r="P310" s="78"/>
      <c r="Q310" s="78"/>
      <c r="R310" s="82"/>
      <c r="S310" s="82"/>
      <c r="T310" s="82"/>
      <c r="U310" s="82"/>
      <c r="V310" s="52"/>
      <c r="W310" s="52"/>
      <c r="X310" s="52"/>
      <c r="Y310" s="52"/>
      <c r="Z310" s="51"/>
      <c r="AA310" s="73">
        <v>310</v>
      </c>
      <c r="AB310" s="73"/>
      <c r="AC310" s="74"/>
      <c r="AD310" s="80" t="s">
        <v>1548</v>
      </c>
      <c r="AE310" s="80" t="s">
        <v>2553</v>
      </c>
      <c r="AF310" s="80" t="s">
        <v>3374</v>
      </c>
      <c r="AG310" s="80" t="s">
        <v>4076</v>
      </c>
      <c r="AH310" s="80" t="s">
        <v>4863</v>
      </c>
      <c r="AI310" s="80">
        <v>13068</v>
      </c>
      <c r="AJ310" s="80">
        <v>6</v>
      </c>
      <c r="AK310" s="80">
        <v>59</v>
      </c>
      <c r="AL310" s="80">
        <v>6</v>
      </c>
      <c r="AM310" s="80" t="s">
        <v>5614</v>
      </c>
      <c r="AN310" s="102" t="str">
        <f>HYPERLINK("https://www.youtube.com/watch?v=ZnUKjPs5_Xw")</f>
        <v>https://www.youtube.com/watch?v=ZnUKjPs5_Xw</v>
      </c>
      <c r="AO310" s="2"/>
      <c r="AP310" s="3"/>
      <c r="AQ310" s="3"/>
      <c r="AR310" s="3"/>
      <c r="AS310" s="3"/>
    </row>
    <row r="311" spans="1:45" ht="15">
      <c r="A311" s="66" t="s">
        <v>504</v>
      </c>
      <c r="B311" s="67"/>
      <c r="C311" s="67"/>
      <c r="D311" s="68"/>
      <c r="E311" s="70"/>
      <c r="F311" s="100" t="str">
        <f>HYPERLINK("https://i.ytimg.com/vi/Q2_7e7f9boI/default.jpg")</f>
        <v>https://i.ytimg.com/vi/Q2_7e7f9boI/default.jpg</v>
      </c>
      <c r="G311" s="67"/>
      <c r="H311" s="71"/>
      <c r="I311" s="72"/>
      <c r="J311" s="72"/>
      <c r="K311" s="71" t="s">
        <v>1549</v>
      </c>
      <c r="L311" s="75"/>
      <c r="M311" s="76">
        <v>5515.39404296875</v>
      </c>
      <c r="N311" s="76">
        <v>6327.1015625</v>
      </c>
      <c r="O311" s="77"/>
      <c r="P311" s="78"/>
      <c r="Q311" s="78"/>
      <c r="R311" s="82"/>
      <c r="S311" s="82"/>
      <c r="T311" s="82"/>
      <c r="U311" s="82"/>
      <c r="V311" s="52"/>
      <c r="W311" s="52"/>
      <c r="X311" s="52"/>
      <c r="Y311" s="52"/>
      <c r="Z311" s="51"/>
      <c r="AA311" s="73">
        <v>311</v>
      </c>
      <c r="AB311" s="73"/>
      <c r="AC311" s="74"/>
      <c r="AD311" s="80" t="s">
        <v>1549</v>
      </c>
      <c r="AE311" s="80" t="s">
        <v>2554</v>
      </c>
      <c r="AF311" s="80" t="s">
        <v>3375</v>
      </c>
      <c r="AG311" s="80" t="s">
        <v>4077</v>
      </c>
      <c r="AH311" s="80" t="s">
        <v>4864</v>
      </c>
      <c r="AI311" s="80">
        <v>146986</v>
      </c>
      <c r="AJ311" s="80">
        <v>24</v>
      </c>
      <c r="AK311" s="80">
        <v>1764</v>
      </c>
      <c r="AL311" s="80">
        <v>76</v>
      </c>
      <c r="AM311" s="80" t="s">
        <v>5614</v>
      </c>
      <c r="AN311" s="102" t="str">
        <f>HYPERLINK("https://www.youtube.com/watch?v=Q2_7e7f9boI")</f>
        <v>https://www.youtube.com/watch?v=Q2_7e7f9boI</v>
      </c>
      <c r="AO311" s="2"/>
      <c r="AP311" s="3"/>
      <c r="AQ311" s="3"/>
      <c r="AR311" s="3"/>
      <c r="AS311" s="3"/>
    </row>
    <row r="312" spans="1:45" ht="15">
      <c r="A312" s="66" t="s">
        <v>505</v>
      </c>
      <c r="B312" s="67"/>
      <c r="C312" s="67"/>
      <c r="D312" s="68"/>
      <c r="E312" s="70"/>
      <c r="F312" s="100" t="str">
        <f>HYPERLINK("https://i.ytimg.com/vi/dOEyke437WA/default.jpg")</f>
        <v>https://i.ytimg.com/vi/dOEyke437WA/default.jpg</v>
      </c>
      <c r="G312" s="67"/>
      <c r="H312" s="71"/>
      <c r="I312" s="72"/>
      <c r="J312" s="72"/>
      <c r="K312" s="71" t="s">
        <v>1550</v>
      </c>
      <c r="L312" s="75"/>
      <c r="M312" s="76">
        <v>5717.40673828125</v>
      </c>
      <c r="N312" s="76">
        <v>6336.2890625</v>
      </c>
      <c r="O312" s="77"/>
      <c r="P312" s="78"/>
      <c r="Q312" s="78"/>
      <c r="R312" s="82"/>
      <c r="S312" s="82"/>
      <c r="T312" s="82"/>
      <c r="U312" s="82"/>
      <c r="V312" s="52"/>
      <c r="W312" s="52"/>
      <c r="X312" s="52"/>
      <c r="Y312" s="52"/>
      <c r="Z312" s="51"/>
      <c r="AA312" s="73">
        <v>312</v>
      </c>
      <c r="AB312" s="73"/>
      <c r="AC312" s="74"/>
      <c r="AD312" s="80" t="s">
        <v>1550</v>
      </c>
      <c r="AE312" s="80" t="s">
        <v>2555</v>
      </c>
      <c r="AF312" s="80"/>
      <c r="AG312" s="80" t="s">
        <v>4078</v>
      </c>
      <c r="AH312" s="80" t="s">
        <v>4865</v>
      </c>
      <c r="AI312" s="80">
        <v>1227</v>
      </c>
      <c r="AJ312" s="80">
        <v>0</v>
      </c>
      <c r="AK312" s="80">
        <v>11</v>
      </c>
      <c r="AL312" s="80">
        <v>0</v>
      </c>
      <c r="AM312" s="80" t="s">
        <v>5614</v>
      </c>
      <c r="AN312" s="102" t="str">
        <f>HYPERLINK("https://www.youtube.com/watch?v=dOEyke437WA")</f>
        <v>https://www.youtube.com/watch?v=dOEyke437WA</v>
      </c>
      <c r="AO312" s="2"/>
      <c r="AP312" s="3"/>
      <c r="AQ312" s="3"/>
      <c r="AR312" s="3"/>
      <c r="AS312" s="3"/>
    </row>
    <row r="313" spans="1:45" ht="15">
      <c r="A313" s="66" t="s">
        <v>506</v>
      </c>
      <c r="B313" s="67"/>
      <c r="C313" s="67"/>
      <c r="D313" s="68"/>
      <c r="E313" s="70"/>
      <c r="F313" s="100" t="str">
        <f>HYPERLINK("https://i.ytimg.com/vi/_VJpLFO8Ozs/default.jpg")</f>
        <v>https://i.ytimg.com/vi/_VJpLFO8Ozs/default.jpg</v>
      </c>
      <c r="G313" s="67"/>
      <c r="H313" s="71"/>
      <c r="I313" s="72"/>
      <c r="J313" s="72"/>
      <c r="K313" s="71" t="s">
        <v>1551</v>
      </c>
      <c r="L313" s="75"/>
      <c r="M313" s="76">
        <v>5727.14453125</v>
      </c>
      <c r="N313" s="76">
        <v>6312.857421875</v>
      </c>
      <c r="O313" s="77"/>
      <c r="P313" s="78"/>
      <c r="Q313" s="78"/>
      <c r="R313" s="82"/>
      <c r="S313" s="82"/>
      <c r="T313" s="82"/>
      <c r="U313" s="82"/>
      <c r="V313" s="52"/>
      <c r="W313" s="52"/>
      <c r="X313" s="52"/>
      <c r="Y313" s="52"/>
      <c r="Z313" s="51"/>
      <c r="AA313" s="73">
        <v>313</v>
      </c>
      <c r="AB313" s="73"/>
      <c r="AC313" s="74"/>
      <c r="AD313" s="80" t="s">
        <v>1551</v>
      </c>
      <c r="AE313" s="80" t="s">
        <v>2556</v>
      </c>
      <c r="AF313" s="80"/>
      <c r="AG313" s="80" t="s">
        <v>4073</v>
      </c>
      <c r="AH313" s="80" t="s">
        <v>4866</v>
      </c>
      <c r="AI313" s="80">
        <v>27</v>
      </c>
      <c r="AJ313" s="80">
        <v>0</v>
      </c>
      <c r="AK313" s="80">
        <v>0</v>
      </c>
      <c r="AL313" s="80">
        <v>0</v>
      </c>
      <c r="AM313" s="80" t="s">
        <v>5614</v>
      </c>
      <c r="AN313" s="102" t="str">
        <f>HYPERLINK("https://www.youtube.com/watch?v=_VJpLFO8Ozs")</f>
        <v>https://www.youtube.com/watch?v=_VJpLFO8Ozs</v>
      </c>
      <c r="AO313" s="2"/>
      <c r="AP313" s="3"/>
      <c r="AQ313" s="3"/>
      <c r="AR313" s="3"/>
      <c r="AS313" s="3"/>
    </row>
    <row r="314" spans="1:45" ht="15">
      <c r="A314" s="66" t="s">
        <v>507</v>
      </c>
      <c r="B314" s="67"/>
      <c r="C314" s="67"/>
      <c r="D314" s="68"/>
      <c r="E314" s="70"/>
      <c r="F314" s="100" t="str">
        <f>HYPERLINK("https://i.ytimg.com/vi/j9nXOrlcdLc/default.jpg")</f>
        <v>https://i.ytimg.com/vi/j9nXOrlcdLc/default.jpg</v>
      </c>
      <c r="G314" s="67"/>
      <c r="H314" s="71"/>
      <c r="I314" s="72"/>
      <c r="J314" s="72"/>
      <c r="K314" s="71" t="s">
        <v>1552</v>
      </c>
      <c r="L314" s="75"/>
      <c r="M314" s="76">
        <v>5759.3837890625</v>
      </c>
      <c r="N314" s="76">
        <v>6361.75341796875</v>
      </c>
      <c r="O314" s="77"/>
      <c r="P314" s="78"/>
      <c r="Q314" s="78"/>
      <c r="R314" s="82"/>
      <c r="S314" s="82"/>
      <c r="T314" s="82"/>
      <c r="U314" s="82"/>
      <c r="V314" s="52"/>
      <c r="W314" s="52"/>
      <c r="X314" s="52"/>
      <c r="Y314" s="52"/>
      <c r="Z314" s="51"/>
      <c r="AA314" s="73">
        <v>314</v>
      </c>
      <c r="AB314" s="73"/>
      <c r="AC314" s="74"/>
      <c r="AD314" s="80" t="s">
        <v>1552</v>
      </c>
      <c r="AE314" s="80" t="s">
        <v>2557</v>
      </c>
      <c r="AF314" s="80" t="s">
        <v>3376</v>
      </c>
      <c r="AG314" s="80" t="s">
        <v>3995</v>
      </c>
      <c r="AH314" s="80" t="s">
        <v>4867</v>
      </c>
      <c r="AI314" s="80">
        <v>89016</v>
      </c>
      <c r="AJ314" s="80">
        <v>17</v>
      </c>
      <c r="AK314" s="80">
        <v>268</v>
      </c>
      <c r="AL314" s="80">
        <v>16</v>
      </c>
      <c r="AM314" s="80" t="s">
        <v>5614</v>
      </c>
      <c r="AN314" s="102" t="str">
        <f>HYPERLINK("https://www.youtube.com/watch?v=j9nXOrlcdLc")</f>
        <v>https://www.youtube.com/watch?v=j9nXOrlcdLc</v>
      </c>
      <c r="AO314" s="2"/>
      <c r="AP314" s="3"/>
      <c r="AQ314" s="3"/>
      <c r="AR314" s="3"/>
      <c r="AS314" s="3"/>
    </row>
    <row r="315" spans="1:45" ht="15">
      <c r="A315" s="66" t="s">
        <v>508</v>
      </c>
      <c r="B315" s="67"/>
      <c r="C315" s="67"/>
      <c r="D315" s="68"/>
      <c r="E315" s="70"/>
      <c r="F315" s="100" t="str">
        <f>HYPERLINK("https://i.ytimg.com/vi/OpalvFehNjY/default.jpg")</f>
        <v>https://i.ytimg.com/vi/OpalvFehNjY/default.jpg</v>
      </c>
      <c r="G315" s="67"/>
      <c r="H315" s="71"/>
      <c r="I315" s="72"/>
      <c r="J315" s="72"/>
      <c r="K315" s="71" t="s">
        <v>1553</v>
      </c>
      <c r="L315" s="75"/>
      <c r="M315" s="76">
        <v>5200.72216796875</v>
      </c>
      <c r="N315" s="76">
        <v>6364.572265625</v>
      </c>
      <c r="O315" s="77"/>
      <c r="P315" s="78"/>
      <c r="Q315" s="78"/>
      <c r="R315" s="82"/>
      <c r="S315" s="82"/>
      <c r="T315" s="82"/>
      <c r="U315" s="82"/>
      <c r="V315" s="52"/>
      <c r="W315" s="52"/>
      <c r="X315" s="52"/>
      <c r="Y315" s="52"/>
      <c r="Z315" s="51"/>
      <c r="AA315" s="73">
        <v>315</v>
      </c>
      <c r="AB315" s="73"/>
      <c r="AC315" s="74"/>
      <c r="AD315" s="80" t="s">
        <v>1553</v>
      </c>
      <c r="AE315" s="80" t="s">
        <v>2558</v>
      </c>
      <c r="AF315" s="80"/>
      <c r="AG315" s="80" t="s">
        <v>4073</v>
      </c>
      <c r="AH315" s="80" t="s">
        <v>4868</v>
      </c>
      <c r="AI315" s="80">
        <v>42</v>
      </c>
      <c r="AJ315" s="80">
        <v>0</v>
      </c>
      <c r="AK315" s="80">
        <v>1</v>
      </c>
      <c r="AL315" s="80">
        <v>1</v>
      </c>
      <c r="AM315" s="80" t="s">
        <v>5614</v>
      </c>
      <c r="AN315" s="102" t="str">
        <f>HYPERLINK("https://www.youtube.com/watch?v=OpalvFehNjY")</f>
        <v>https://www.youtube.com/watch?v=OpalvFehNjY</v>
      </c>
      <c r="AO315" s="2"/>
      <c r="AP315" s="3"/>
      <c r="AQ315" s="3"/>
      <c r="AR315" s="3"/>
      <c r="AS315" s="3"/>
    </row>
    <row r="316" spans="1:45" ht="15">
      <c r="A316" s="66" t="s">
        <v>509</v>
      </c>
      <c r="B316" s="67"/>
      <c r="C316" s="67"/>
      <c r="D316" s="68"/>
      <c r="E316" s="70"/>
      <c r="F316" s="100" t="str">
        <f>HYPERLINK("https://i.ytimg.com/vi/f81x6ioFkYM/default.jpg")</f>
        <v>https://i.ytimg.com/vi/f81x6ioFkYM/default.jpg</v>
      </c>
      <c r="G316" s="67"/>
      <c r="H316" s="71"/>
      <c r="I316" s="72"/>
      <c r="J316" s="72"/>
      <c r="K316" s="71" t="s">
        <v>1554</v>
      </c>
      <c r="L316" s="75"/>
      <c r="M316" s="76">
        <v>6363.654296875</v>
      </c>
      <c r="N316" s="76">
        <v>6230.78955078125</v>
      </c>
      <c r="O316" s="77"/>
      <c r="P316" s="78"/>
      <c r="Q316" s="78"/>
      <c r="R316" s="82"/>
      <c r="S316" s="82"/>
      <c r="T316" s="82"/>
      <c r="U316" s="82"/>
      <c r="V316" s="52"/>
      <c r="W316" s="52"/>
      <c r="X316" s="52"/>
      <c r="Y316" s="52"/>
      <c r="Z316" s="51"/>
      <c r="AA316" s="73">
        <v>316</v>
      </c>
      <c r="AB316" s="73"/>
      <c r="AC316" s="74"/>
      <c r="AD316" s="80" t="s">
        <v>1554</v>
      </c>
      <c r="AE316" s="80"/>
      <c r="AF316" s="80" t="s">
        <v>1528</v>
      </c>
      <c r="AG316" s="80" t="s">
        <v>4079</v>
      </c>
      <c r="AH316" s="80" t="s">
        <v>4869</v>
      </c>
      <c r="AI316" s="80">
        <v>5197</v>
      </c>
      <c r="AJ316" s="80">
        <v>2</v>
      </c>
      <c r="AK316" s="80">
        <v>40</v>
      </c>
      <c r="AL316" s="80">
        <v>4</v>
      </c>
      <c r="AM316" s="80" t="s">
        <v>5614</v>
      </c>
      <c r="AN316" s="102" t="str">
        <f>HYPERLINK("https://www.youtube.com/watch?v=f81x6ioFkYM")</f>
        <v>https://www.youtube.com/watch?v=f81x6ioFkYM</v>
      </c>
      <c r="AO316" s="2"/>
      <c r="AP316" s="3"/>
      <c r="AQ316" s="3"/>
      <c r="AR316" s="3"/>
      <c r="AS316" s="3"/>
    </row>
    <row r="317" spans="1:45" ht="15">
      <c r="A317" s="66" t="s">
        <v>510</v>
      </c>
      <c r="B317" s="67"/>
      <c r="C317" s="67"/>
      <c r="D317" s="68"/>
      <c r="E317" s="70"/>
      <c r="F317" s="100" t="str">
        <f>HYPERLINK("https://i.ytimg.com/vi/GJSdwD1c3iU/default.jpg")</f>
        <v>https://i.ytimg.com/vi/GJSdwD1c3iU/default.jpg</v>
      </c>
      <c r="G317" s="67"/>
      <c r="H317" s="71"/>
      <c r="I317" s="72"/>
      <c r="J317" s="72"/>
      <c r="K317" s="71" t="s">
        <v>1555</v>
      </c>
      <c r="L317" s="75"/>
      <c r="M317" s="76">
        <v>5732.39990234375</v>
      </c>
      <c r="N317" s="76">
        <v>6428.09033203125</v>
      </c>
      <c r="O317" s="77"/>
      <c r="P317" s="78"/>
      <c r="Q317" s="78"/>
      <c r="R317" s="82"/>
      <c r="S317" s="82"/>
      <c r="T317" s="82"/>
      <c r="U317" s="82"/>
      <c r="V317" s="52"/>
      <c r="W317" s="52"/>
      <c r="X317" s="52"/>
      <c r="Y317" s="52"/>
      <c r="Z317" s="51"/>
      <c r="AA317" s="73">
        <v>317</v>
      </c>
      <c r="AB317" s="73"/>
      <c r="AC317" s="74"/>
      <c r="AD317" s="80" t="s">
        <v>1555</v>
      </c>
      <c r="AE317" s="80" t="s">
        <v>2559</v>
      </c>
      <c r="AF317" s="80"/>
      <c r="AG317" s="80" t="s">
        <v>4080</v>
      </c>
      <c r="AH317" s="80" t="s">
        <v>4870</v>
      </c>
      <c r="AI317" s="80">
        <v>148</v>
      </c>
      <c r="AJ317" s="80">
        <v>6</v>
      </c>
      <c r="AK317" s="80">
        <v>18</v>
      </c>
      <c r="AL317" s="80">
        <v>0</v>
      </c>
      <c r="AM317" s="80" t="s">
        <v>5614</v>
      </c>
      <c r="AN317" s="102" t="str">
        <f>HYPERLINK("https://www.youtube.com/watch?v=GJSdwD1c3iU")</f>
        <v>https://www.youtube.com/watch?v=GJSdwD1c3iU</v>
      </c>
      <c r="AO317" s="2"/>
      <c r="AP317" s="3"/>
      <c r="AQ317" s="3"/>
      <c r="AR317" s="3"/>
      <c r="AS317" s="3"/>
    </row>
    <row r="318" spans="1:45" ht="15">
      <c r="A318" s="66" t="s">
        <v>511</v>
      </c>
      <c r="B318" s="67"/>
      <c r="C318" s="67"/>
      <c r="D318" s="68"/>
      <c r="E318" s="70"/>
      <c r="F318" s="100" t="str">
        <f>HYPERLINK("https://i.ytimg.com/vi/KAdmLQVO1FE/default.jpg")</f>
        <v>https://i.ytimg.com/vi/KAdmLQVO1FE/default.jpg</v>
      </c>
      <c r="G318" s="67"/>
      <c r="H318" s="71"/>
      <c r="I318" s="72"/>
      <c r="J318" s="72"/>
      <c r="K318" s="71" t="s">
        <v>1556</v>
      </c>
      <c r="L318" s="75"/>
      <c r="M318" s="76">
        <v>5287.87109375</v>
      </c>
      <c r="N318" s="76">
        <v>6388.365234375</v>
      </c>
      <c r="O318" s="77"/>
      <c r="P318" s="78"/>
      <c r="Q318" s="78"/>
      <c r="R318" s="82"/>
      <c r="S318" s="82"/>
      <c r="T318" s="82"/>
      <c r="U318" s="82"/>
      <c r="V318" s="52"/>
      <c r="W318" s="52"/>
      <c r="X318" s="52"/>
      <c r="Y318" s="52"/>
      <c r="Z318" s="51"/>
      <c r="AA318" s="73">
        <v>318</v>
      </c>
      <c r="AB318" s="73"/>
      <c r="AC318" s="74"/>
      <c r="AD318" s="80" t="s">
        <v>1556</v>
      </c>
      <c r="AE318" s="80" t="s">
        <v>2560</v>
      </c>
      <c r="AF318" s="80"/>
      <c r="AG318" s="80" t="s">
        <v>4073</v>
      </c>
      <c r="AH318" s="80" t="s">
        <v>4871</v>
      </c>
      <c r="AI318" s="80">
        <v>191</v>
      </c>
      <c r="AJ318" s="80">
        <v>0</v>
      </c>
      <c r="AK318" s="80">
        <v>1</v>
      </c>
      <c r="AL318" s="80">
        <v>0</v>
      </c>
      <c r="AM318" s="80" t="s">
        <v>5614</v>
      </c>
      <c r="AN318" s="102" t="str">
        <f>HYPERLINK("https://www.youtube.com/watch?v=KAdmLQVO1FE")</f>
        <v>https://www.youtube.com/watch?v=KAdmLQVO1FE</v>
      </c>
      <c r="AO318" s="2"/>
      <c r="AP318" s="3"/>
      <c r="AQ318" s="3"/>
      <c r="AR318" s="3"/>
      <c r="AS318" s="3"/>
    </row>
    <row r="319" spans="1:45" ht="15">
      <c r="A319" s="66" t="s">
        <v>512</v>
      </c>
      <c r="B319" s="67"/>
      <c r="C319" s="67"/>
      <c r="D319" s="68"/>
      <c r="E319" s="70"/>
      <c r="F319" s="100" t="str">
        <f>HYPERLINK("https://i.ytimg.com/vi/GfH_e1-rN9w/default.jpg")</f>
        <v>https://i.ytimg.com/vi/GfH_e1-rN9w/default.jpg</v>
      </c>
      <c r="G319" s="67"/>
      <c r="H319" s="71"/>
      <c r="I319" s="72"/>
      <c r="J319" s="72"/>
      <c r="K319" s="71" t="s">
        <v>1557</v>
      </c>
      <c r="L319" s="75"/>
      <c r="M319" s="76">
        <v>7237.03369140625</v>
      </c>
      <c r="N319" s="76">
        <v>5034.486328125</v>
      </c>
      <c r="O319" s="77"/>
      <c r="P319" s="78"/>
      <c r="Q319" s="78"/>
      <c r="R319" s="82"/>
      <c r="S319" s="82"/>
      <c r="T319" s="82"/>
      <c r="U319" s="82"/>
      <c r="V319" s="52"/>
      <c r="W319" s="52"/>
      <c r="X319" s="52"/>
      <c r="Y319" s="52"/>
      <c r="Z319" s="51"/>
      <c r="AA319" s="73">
        <v>319</v>
      </c>
      <c r="AB319" s="73"/>
      <c r="AC319" s="74"/>
      <c r="AD319" s="80" t="s">
        <v>1557</v>
      </c>
      <c r="AE319" s="80" t="s">
        <v>2561</v>
      </c>
      <c r="AF319" s="80"/>
      <c r="AG319" s="80" t="s">
        <v>4081</v>
      </c>
      <c r="AH319" s="80" t="s">
        <v>4872</v>
      </c>
      <c r="AI319" s="80">
        <v>205</v>
      </c>
      <c r="AJ319" s="80">
        <v>0</v>
      </c>
      <c r="AK319" s="80">
        <v>2</v>
      </c>
      <c r="AL319" s="80">
        <v>0</v>
      </c>
      <c r="AM319" s="80" t="s">
        <v>5614</v>
      </c>
      <c r="AN319" s="102" t="str">
        <f>HYPERLINK("https://www.youtube.com/watch?v=GfH_e1-rN9w")</f>
        <v>https://www.youtube.com/watch?v=GfH_e1-rN9w</v>
      </c>
      <c r="AO319" s="2"/>
      <c r="AP319" s="3"/>
      <c r="AQ319" s="3"/>
      <c r="AR319" s="3"/>
      <c r="AS319" s="3"/>
    </row>
    <row r="320" spans="1:45" ht="15">
      <c r="A320" s="66" t="s">
        <v>513</v>
      </c>
      <c r="B320" s="67"/>
      <c r="C320" s="67"/>
      <c r="D320" s="68"/>
      <c r="E320" s="70"/>
      <c r="F320" s="100" t="str">
        <f>HYPERLINK("https://i.ytimg.com/vi/Ak0kPh8qxWk/default.jpg")</f>
        <v>https://i.ytimg.com/vi/Ak0kPh8qxWk/default.jpg</v>
      </c>
      <c r="G320" s="67"/>
      <c r="H320" s="71"/>
      <c r="I320" s="72"/>
      <c r="J320" s="72"/>
      <c r="K320" s="71" t="s">
        <v>1558</v>
      </c>
      <c r="L320" s="75"/>
      <c r="M320" s="76">
        <v>6093.42724609375</v>
      </c>
      <c r="N320" s="76">
        <v>6357.3505859375</v>
      </c>
      <c r="O320" s="77"/>
      <c r="P320" s="78"/>
      <c r="Q320" s="78"/>
      <c r="R320" s="82"/>
      <c r="S320" s="82"/>
      <c r="T320" s="82"/>
      <c r="U320" s="82"/>
      <c r="V320" s="52"/>
      <c r="W320" s="52"/>
      <c r="X320" s="52"/>
      <c r="Y320" s="52"/>
      <c r="Z320" s="51"/>
      <c r="AA320" s="73">
        <v>320</v>
      </c>
      <c r="AB320" s="73"/>
      <c r="AC320" s="74"/>
      <c r="AD320" s="80" t="s">
        <v>1558</v>
      </c>
      <c r="AE320" s="80" t="s">
        <v>2562</v>
      </c>
      <c r="AF320" s="80" t="s">
        <v>3377</v>
      </c>
      <c r="AG320" s="80" t="s">
        <v>4082</v>
      </c>
      <c r="AH320" s="80" t="s">
        <v>4873</v>
      </c>
      <c r="AI320" s="80">
        <v>17536</v>
      </c>
      <c r="AJ320" s="80">
        <v>2</v>
      </c>
      <c r="AK320" s="80">
        <v>156</v>
      </c>
      <c r="AL320" s="80">
        <v>2</v>
      </c>
      <c r="AM320" s="80" t="s">
        <v>5614</v>
      </c>
      <c r="AN320" s="102" t="str">
        <f>HYPERLINK("https://www.youtube.com/watch?v=Ak0kPh8qxWk")</f>
        <v>https://www.youtube.com/watch?v=Ak0kPh8qxWk</v>
      </c>
      <c r="AO320" s="2"/>
      <c r="AP320" s="3"/>
      <c r="AQ320" s="3"/>
      <c r="AR320" s="3"/>
      <c r="AS320" s="3"/>
    </row>
    <row r="321" spans="1:45" ht="15">
      <c r="A321" s="66" t="s">
        <v>514</v>
      </c>
      <c r="B321" s="67"/>
      <c r="C321" s="67"/>
      <c r="D321" s="68"/>
      <c r="E321" s="70"/>
      <c r="F321" s="100" t="str">
        <f>HYPERLINK("https://i.ytimg.com/vi/2aARVkxEPvs/default.jpg")</f>
        <v>https://i.ytimg.com/vi/2aARVkxEPvs/default.jpg</v>
      </c>
      <c r="G321" s="67"/>
      <c r="H321" s="71"/>
      <c r="I321" s="72"/>
      <c r="J321" s="72"/>
      <c r="K321" s="71" t="s">
        <v>1559</v>
      </c>
      <c r="L321" s="75"/>
      <c r="M321" s="76">
        <v>6076.00341796875</v>
      </c>
      <c r="N321" s="76">
        <v>6414.9970703125</v>
      </c>
      <c r="O321" s="77"/>
      <c r="P321" s="78"/>
      <c r="Q321" s="78"/>
      <c r="R321" s="82"/>
      <c r="S321" s="82"/>
      <c r="T321" s="82"/>
      <c r="U321" s="82"/>
      <c r="V321" s="52"/>
      <c r="W321" s="52"/>
      <c r="X321" s="52"/>
      <c r="Y321" s="52"/>
      <c r="Z321" s="51"/>
      <c r="AA321" s="73">
        <v>321</v>
      </c>
      <c r="AB321" s="73"/>
      <c r="AC321" s="74"/>
      <c r="AD321" s="80" t="s">
        <v>1559</v>
      </c>
      <c r="AE321" s="80" t="s">
        <v>2563</v>
      </c>
      <c r="AF321" s="80" t="s">
        <v>3378</v>
      </c>
      <c r="AG321" s="80" t="s">
        <v>4083</v>
      </c>
      <c r="AH321" s="80" t="s">
        <v>4874</v>
      </c>
      <c r="AI321" s="80">
        <v>36164</v>
      </c>
      <c r="AJ321" s="80">
        <v>59</v>
      </c>
      <c r="AK321" s="80">
        <v>549</v>
      </c>
      <c r="AL321" s="80">
        <v>24</v>
      </c>
      <c r="AM321" s="80" t="s">
        <v>5614</v>
      </c>
      <c r="AN321" s="102" t="str">
        <f>HYPERLINK("https://www.youtube.com/watch?v=2aARVkxEPvs")</f>
        <v>https://www.youtube.com/watch?v=2aARVkxEPvs</v>
      </c>
      <c r="AO321" s="2"/>
      <c r="AP321" s="3"/>
      <c r="AQ321" s="3"/>
      <c r="AR321" s="3"/>
      <c r="AS321" s="3"/>
    </row>
    <row r="322" spans="1:45" ht="15">
      <c r="A322" s="66" t="s">
        <v>515</v>
      </c>
      <c r="B322" s="67"/>
      <c r="C322" s="67"/>
      <c r="D322" s="68"/>
      <c r="E322" s="70"/>
      <c r="F322" s="100" t="str">
        <f>HYPERLINK("https://i.ytimg.com/vi/O2EmurIh8c4/default.jpg")</f>
        <v>https://i.ytimg.com/vi/O2EmurIh8c4/default.jpg</v>
      </c>
      <c r="G322" s="67"/>
      <c r="H322" s="71"/>
      <c r="I322" s="72"/>
      <c r="J322" s="72"/>
      <c r="K322" s="71" t="s">
        <v>1560</v>
      </c>
      <c r="L322" s="75"/>
      <c r="M322" s="76">
        <v>6016.88671875</v>
      </c>
      <c r="N322" s="76">
        <v>6351.4296875</v>
      </c>
      <c r="O322" s="77"/>
      <c r="P322" s="78"/>
      <c r="Q322" s="78"/>
      <c r="R322" s="82"/>
      <c r="S322" s="82"/>
      <c r="T322" s="82"/>
      <c r="U322" s="82"/>
      <c r="V322" s="52"/>
      <c r="W322" s="52"/>
      <c r="X322" s="52"/>
      <c r="Y322" s="52"/>
      <c r="Z322" s="51"/>
      <c r="AA322" s="73">
        <v>322</v>
      </c>
      <c r="AB322" s="73"/>
      <c r="AC322" s="74"/>
      <c r="AD322" s="80" t="s">
        <v>1560</v>
      </c>
      <c r="AE322" s="80" t="s">
        <v>2564</v>
      </c>
      <c r="AF322" s="80"/>
      <c r="AG322" s="80" t="s">
        <v>4073</v>
      </c>
      <c r="AH322" s="80" t="s">
        <v>4875</v>
      </c>
      <c r="AI322" s="80">
        <v>3486</v>
      </c>
      <c r="AJ322" s="80">
        <v>24</v>
      </c>
      <c r="AK322" s="80">
        <v>117</v>
      </c>
      <c r="AL322" s="80">
        <v>2</v>
      </c>
      <c r="AM322" s="80" t="s">
        <v>5614</v>
      </c>
      <c r="AN322" s="102" t="str">
        <f>HYPERLINK("https://www.youtube.com/watch?v=O2EmurIh8c4")</f>
        <v>https://www.youtube.com/watch?v=O2EmurIh8c4</v>
      </c>
      <c r="AO322" s="2"/>
      <c r="AP322" s="3"/>
      <c r="AQ322" s="3"/>
      <c r="AR322" s="3"/>
      <c r="AS322" s="3"/>
    </row>
    <row r="323" spans="1:45" ht="15">
      <c r="A323" s="66" t="s">
        <v>516</v>
      </c>
      <c r="B323" s="67"/>
      <c r="C323" s="67"/>
      <c r="D323" s="68"/>
      <c r="E323" s="70"/>
      <c r="F323" s="100" t="str">
        <f>HYPERLINK("https://i.ytimg.com/vi/qtFTK8_y4vw/default.jpg")</f>
        <v>https://i.ytimg.com/vi/qtFTK8_y4vw/default.jpg</v>
      </c>
      <c r="G323" s="67"/>
      <c r="H323" s="71"/>
      <c r="I323" s="72"/>
      <c r="J323" s="72"/>
      <c r="K323" s="71" t="s">
        <v>1561</v>
      </c>
      <c r="L323" s="75"/>
      <c r="M323" s="76">
        <v>5287.892578125</v>
      </c>
      <c r="N323" s="76">
        <v>6431.31298828125</v>
      </c>
      <c r="O323" s="77"/>
      <c r="P323" s="78"/>
      <c r="Q323" s="78"/>
      <c r="R323" s="82"/>
      <c r="S323" s="82"/>
      <c r="T323" s="82"/>
      <c r="U323" s="82"/>
      <c r="V323" s="52"/>
      <c r="W323" s="52"/>
      <c r="X323" s="52"/>
      <c r="Y323" s="52"/>
      <c r="Z323" s="51"/>
      <c r="AA323" s="73">
        <v>323</v>
      </c>
      <c r="AB323" s="73"/>
      <c r="AC323" s="74"/>
      <c r="AD323" s="80" t="s">
        <v>1561</v>
      </c>
      <c r="AE323" s="80" t="s">
        <v>2565</v>
      </c>
      <c r="AF323" s="80"/>
      <c r="AG323" s="80" t="s">
        <v>4073</v>
      </c>
      <c r="AH323" s="80" t="s">
        <v>4876</v>
      </c>
      <c r="AI323" s="80">
        <v>79</v>
      </c>
      <c r="AJ323" s="80">
        <v>0</v>
      </c>
      <c r="AK323" s="80">
        <v>2</v>
      </c>
      <c r="AL323" s="80">
        <v>0</v>
      </c>
      <c r="AM323" s="80" t="s">
        <v>5614</v>
      </c>
      <c r="AN323" s="102" t="str">
        <f>HYPERLINK("https://www.youtube.com/watch?v=qtFTK8_y4vw")</f>
        <v>https://www.youtube.com/watch?v=qtFTK8_y4vw</v>
      </c>
      <c r="AO323" s="2"/>
      <c r="AP323" s="3"/>
      <c r="AQ323" s="3"/>
      <c r="AR323" s="3"/>
      <c r="AS323" s="3"/>
    </row>
    <row r="324" spans="1:45" ht="15">
      <c r="A324" s="66" t="s">
        <v>517</v>
      </c>
      <c r="B324" s="67"/>
      <c r="C324" s="67"/>
      <c r="D324" s="68"/>
      <c r="E324" s="70"/>
      <c r="F324" s="100" t="str">
        <f>HYPERLINK("https://i.ytimg.com/vi/-xfFHhlrb4o/default.jpg")</f>
        <v>https://i.ytimg.com/vi/-xfFHhlrb4o/default.jpg</v>
      </c>
      <c r="G324" s="67"/>
      <c r="H324" s="71"/>
      <c r="I324" s="72"/>
      <c r="J324" s="72"/>
      <c r="K324" s="71" t="s">
        <v>1562</v>
      </c>
      <c r="L324" s="75"/>
      <c r="M324" s="76">
        <v>6550.7451171875</v>
      </c>
      <c r="N324" s="76">
        <v>6208.58935546875</v>
      </c>
      <c r="O324" s="77"/>
      <c r="P324" s="78"/>
      <c r="Q324" s="78"/>
      <c r="R324" s="82"/>
      <c r="S324" s="82"/>
      <c r="T324" s="82"/>
      <c r="U324" s="82"/>
      <c r="V324" s="52"/>
      <c r="W324" s="52"/>
      <c r="X324" s="52"/>
      <c r="Y324" s="52"/>
      <c r="Z324" s="51"/>
      <c r="AA324" s="73">
        <v>324</v>
      </c>
      <c r="AB324" s="73"/>
      <c r="AC324" s="74"/>
      <c r="AD324" s="80" t="s">
        <v>1562</v>
      </c>
      <c r="AE324" s="80" t="s">
        <v>2566</v>
      </c>
      <c r="AF324" s="80" t="s">
        <v>3379</v>
      </c>
      <c r="AG324" s="80" t="s">
        <v>4084</v>
      </c>
      <c r="AH324" s="80" t="s">
        <v>4877</v>
      </c>
      <c r="AI324" s="80">
        <v>1564</v>
      </c>
      <c r="AJ324" s="80">
        <v>3</v>
      </c>
      <c r="AK324" s="80">
        <v>47</v>
      </c>
      <c r="AL324" s="80">
        <v>1</v>
      </c>
      <c r="AM324" s="80" t="s">
        <v>5614</v>
      </c>
      <c r="AN324" s="102" t="str">
        <f>HYPERLINK("https://www.youtube.com/watch?v=-xfFHhlrb4o")</f>
        <v>https://www.youtube.com/watch?v=-xfFHhlrb4o</v>
      </c>
      <c r="AO324" s="2"/>
      <c r="AP324" s="3"/>
      <c r="AQ324" s="3"/>
      <c r="AR324" s="3"/>
      <c r="AS324" s="3"/>
    </row>
    <row r="325" spans="1:45" ht="15">
      <c r="A325" s="66" t="s">
        <v>518</v>
      </c>
      <c r="B325" s="67"/>
      <c r="C325" s="67"/>
      <c r="D325" s="68"/>
      <c r="E325" s="70"/>
      <c r="F325" s="100" t="str">
        <f>HYPERLINK("https://i.ytimg.com/vi/hyZAxY4jacI/default.jpg")</f>
        <v>https://i.ytimg.com/vi/hyZAxY4jacI/default.jpg</v>
      </c>
      <c r="G325" s="67"/>
      <c r="H325" s="71"/>
      <c r="I325" s="72"/>
      <c r="J325" s="72"/>
      <c r="K325" s="71" t="s">
        <v>1563</v>
      </c>
      <c r="L325" s="75"/>
      <c r="M325" s="76">
        <v>5529.71435546875</v>
      </c>
      <c r="N325" s="76">
        <v>6405.9140625</v>
      </c>
      <c r="O325" s="77"/>
      <c r="P325" s="78"/>
      <c r="Q325" s="78"/>
      <c r="R325" s="82"/>
      <c r="S325" s="82"/>
      <c r="T325" s="82"/>
      <c r="U325" s="82"/>
      <c r="V325" s="52"/>
      <c r="W325" s="52"/>
      <c r="X325" s="52"/>
      <c r="Y325" s="52"/>
      <c r="Z325" s="51"/>
      <c r="AA325" s="73">
        <v>325</v>
      </c>
      <c r="AB325" s="73"/>
      <c r="AC325" s="74"/>
      <c r="AD325" s="80" t="s">
        <v>1563</v>
      </c>
      <c r="AE325" s="80" t="s">
        <v>2567</v>
      </c>
      <c r="AF325" s="80" t="s">
        <v>3380</v>
      </c>
      <c r="AG325" s="80" t="s">
        <v>4085</v>
      </c>
      <c r="AH325" s="80" t="s">
        <v>4878</v>
      </c>
      <c r="AI325" s="80">
        <v>52439</v>
      </c>
      <c r="AJ325" s="80">
        <v>8</v>
      </c>
      <c r="AK325" s="80">
        <v>139</v>
      </c>
      <c r="AL325" s="80">
        <v>12</v>
      </c>
      <c r="AM325" s="80" t="s">
        <v>5614</v>
      </c>
      <c r="AN325" s="102" t="str">
        <f>HYPERLINK("https://www.youtube.com/watch?v=hyZAxY4jacI")</f>
        <v>https://www.youtube.com/watch?v=hyZAxY4jacI</v>
      </c>
      <c r="AO325" s="2"/>
      <c r="AP325" s="3"/>
      <c r="AQ325" s="3"/>
      <c r="AR325" s="3"/>
      <c r="AS325" s="3"/>
    </row>
    <row r="326" spans="1:45" ht="15">
      <c r="A326" s="66" t="s">
        <v>519</v>
      </c>
      <c r="B326" s="67"/>
      <c r="C326" s="67"/>
      <c r="D326" s="68"/>
      <c r="E326" s="70"/>
      <c r="F326" s="100" t="str">
        <f>HYPERLINK("https://i.ytimg.com/vi/SWZOGFeVbTs/default.jpg")</f>
        <v>https://i.ytimg.com/vi/SWZOGFeVbTs/default.jpg</v>
      </c>
      <c r="G326" s="67"/>
      <c r="H326" s="71"/>
      <c r="I326" s="72"/>
      <c r="J326" s="72"/>
      <c r="K326" s="71" t="s">
        <v>1564</v>
      </c>
      <c r="L326" s="75"/>
      <c r="M326" s="76">
        <v>5385.2001953125</v>
      </c>
      <c r="N326" s="76">
        <v>6344.2900390625</v>
      </c>
      <c r="O326" s="77"/>
      <c r="P326" s="78"/>
      <c r="Q326" s="78"/>
      <c r="R326" s="82"/>
      <c r="S326" s="82"/>
      <c r="T326" s="82"/>
      <c r="U326" s="82"/>
      <c r="V326" s="52"/>
      <c r="W326" s="52"/>
      <c r="X326" s="52"/>
      <c r="Y326" s="52"/>
      <c r="Z326" s="51"/>
      <c r="AA326" s="73">
        <v>326</v>
      </c>
      <c r="AB326" s="73"/>
      <c r="AC326" s="74"/>
      <c r="AD326" s="80" t="s">
        <v>1564</v>
      </c>
      <c r="AE326" s="80" t="s">
        <v>2568</v>
      </c>
      <c r="AF326" s="80" t="s">
        <v>3381</v>
      </c>
      <c r="AG326" s="80" t="s">
        <v>4086</v>
      </c>
      <c r="AH326" s="80" t="s">
        <v>4879</v>
      </c>
      <c r="AI326" s="80">
        <v>428681</v>
      </c>
      <c r="AJ326" s="80">
        <v>156</v>
      </c>
      <c r="AK326" s="80">
        <v>7369</v>
      </c>
      <c r="AL326" s="80">
        <v>297</v>
      </c>
      <c r="AM326" s="80" t="s">
        <v>5614</v>
      </c>
      <c r="AN326" s="102" t="str">
        <f>HYPERLINK("https://www.youtube.com/watch?v=SWZOGFeVbTs")</f>
        <v>https://www.youtube.com/watch?v=SWZOGFeVbTs</v>
      </c>
      <c r="AO326" s="2"/>
      <c r="AP326" s="3"/>
      <c r="AQ326" s="3"/>
      <c r="AR326" s="3"/>
      <c r="AS326" s="3"/>
    </row>
    <row r="327" spans="1:45" ht="15">
      <c r="A327" s="66" t="s">
        <v>520</v>
      </c>
      <c r="B327" s="67"/>
      <c r="C327" s="67"/>
      <c r="D327" s="68"/>
      <c r="E327" s="70"/>
      <c r="F327" s="100" t="str">
        <f>HYPERLINK("https://i.ytimg.com/vi/oknConcbAig/default.jpg")</f>
        <v>https://i.ytimg.com/vi/oknConcbAig/default.jpg</v>
      </c>
      <c r="G327" s="67"/>
      <c r="H327" s="71"/>
      <c r="I327" s="72"/>
      <c r="J327" s="72"/>
      <c r="K327" s="71" t="s">
        <v>1565</v>
      </c>
      <c r="L327" s="75"/>
      <c r="M327" s="76">
        <v>6038.88623046875</v>
      </c>
      <c r="N327" s="76">
        <v>6283.75341796875</v>
      </c>
      <c r="O327" s="77"/>
      <c r="P327" s="78"/>
      <c r="Q327" s="78"/>
      <c r="R327" s="82"/>
      <c r="S327" s="82"/>
      <c r="T327" s="82"/>
      <c r="U327" s="82"/>
      <c r="V327" s="52"/>
      <c r="W327" s="52"/>
      <c r="X327" s="52"/>
      <c r="Y327" s="52"/>
      <c r="Z327" s="51"/>
      <c r="AA327" s="73">
        <v>327</v>
      </c>
      <c r="AB327" s="73"/>
      <c r="AC327" s="74"/>
      <c r="AD327" s="80" t="s">
        <v>1565</v>
      </c>
      <c r="AE327" s="80" t="s">
        <v>2569</v>
      </c>
      <c r="AF327" s="80" t="s">
        <v>3382</v>
      </c>
      <c r="AG327" s="80" t="s">
        <v>4087</v>
      </c>
      <c r="AH327" s="80" t="s">
        <v>4880</v>
      </c>
      <c r="AI327" s="80">
        <v>61840</v>
      </c>
      <c r="AJ327" s="80">
        <v>10</v>
      </c>
      <c r="AK327" s="80">
        <v>272</v>
      </c>
      <c r="AL327" s="80">
        <v>26</v>
      </c>
      <c r="AM327" s="80" t="s">
        <v>5614</v>
      </c>
      <c r="AN327" s="102" t="str">
        <f>HYPERLINK("https://www.youtube.com/watch?v=oknConcbAig")</f>
        <v>https://www.youtube.com/watch?v=oknConcbAig</v>
      </c>
      <c r="AO327" s="2"/>
      <c r="AP327" s="3"/>
      <c r="AQ327" s="3"/>
      <c r="AR327" s="3"/>
      <c r="AS327" s="3"/>
    </row>
    <row r="328" spans="1:45" ht="15">
      <c r="A328" s="66" t="s">
        <v>521</v>
      </c>
      <c r="B328" s="67"/>
      <c r="C328" s="67"/>
      <c r="D328" s="68"/>
      <c r="E328" s="70"/>
      <c r="F328" s="100" t="str">
        <f>HYPERLINK("https://i.ytimg.com/vi/0j_hmBgJQrk/default.jpg")</f>
        <v>https://i.ytimg.com/vi/0j_hmBgJQrk/default.jpg</v>
      </c>
      <c r="G328" s="67"/>
      <c r="H328" s="71"/>
      <c r="I328" s="72"/>
      <c r="J328" s="72"/>
      <c r="K328" s="71" t="s">
        <v>1566</v>
      </c>
      <c r="L328" s="75"/>
      <c r="M328" s="76">
        <v>5956.34765625</v>
      </c>
      <c r="N328" s="76">
        <v>6274.111328125</v>
      </c>
      <c r="O328" s="77"/>
      <c r="P328" s="78"/>
      <c r="Q328" s="78"/>
      <c r="R328" s="82"/>
      <c r="S328" s="82"/>
      <c r="T328" s="82"/>
      <c r="U328" s="82"/>
      <c r="V328" s="52"/>
      <c r="W328" s="52"/>
      <c r="X328" s="52"/>
      <c r="Y328" s="52"/>
      <c r="Z328" s="51"/>
      <c r="AA328" s="73">
        <v>328</v>
      </c>
      <c r="AB328" s="73"/>
      <c r="AC328" s="74"/>
      <c r="AD328" s="80" t="s">
        <v>1566</v>
      </c>
      <c r="AE328" s="80" t="s">
        <v>2570</v>
      </c>
      <c r="AF328" s="80" t="s">
        <v>3383</v>
      </c>
      <c r="AG328" s="80" t="s">
        <v>3943</v>
      </c>
      <c r="AH328" s="80" t="s">
        <v>4881</v>
      </c>
      <c r="AI328" s="80">
        <v>97050</v>
      </c>
      <c r="AJ328" s="80">
        <v>32</v>
      </c>
      <c r="AK328" s="80">
        <v>1955</v>
      </c>
      <c r="AL328" s="80">
        <v>67</v>
      </c>
      <c r="AM328" s="80" t="s">
        <v>5614</v>
      </c>
      <c r="AN328" s="102" t="str">
        <f>HYPERLINK("https://www.youtube.com/watch?v=0j_hmBgJQrk")</f>
        <v>https://www.youtube.com/watch?v=0j_hmBgJQrk</v>
      </c>
      <c r="AO328" s="2"/>
      <c r="AP328" s="3"/>
      <c r="AQ328" s="3"/>
      <c r="AR328" s="3"/>
      <c r="AS328" s="3"/>
    </row>
    <row r="329" spans="1:45" ht="15">
      <c r="A329" s="66" t="s">
        <v>522</v>
      </c>
      <c r="B329" s="67"/>
      <c r="C329" s="67"/>
      <c r="D329" s="68"/>
      <c r="E329" s="70"/>
      <c r="F329" s="100" t="str">
        <f>HYPERLINK("https://i.ytimg.com/vi/xA0pMB2eCz0/default.jpg")</f>
        <v>https://i.ytimg.com/vi/xA0pMB2eCz0/default.jpg</v>
      </c>
      <c r="G329" s="67"/>
      <c r="H329" s="71"/>
      <c r="I329" s="72"/>
      <c r="J329" s="72"/>
      <c r="K329" s="71" t="s">
        <v>1567</v>
      </c>
      <c r="L329" s="75"/>
      <c r="M329" s="76">
        <v>6633.0791015625</v>
      </c>
      <c r="N329" s="76">
        <v>6182.603515625</v>
      </c>
      <c r="O329" s="77"/>
      <c r="P329" s="78"/>
      <c r="Q329" s="78"/>
      <c r="R329" s="82"/>
      <c r="S329" s="82"/>
      <c r="T329" s="82"/>
      <c r="U329" s="82"/>
      <c r="V329" s="52"/>
      <c r="W329" s="52"/>
      <c r="X329" s="52"/>
      <c r="Y329" s="52"/>
      <c r="Z329" s="51"/>
      <c r="AA329" s="73">
        <v>329</v>
      </c>
      <c r="AB329" s="73"/>
      <c r="AC329" s="74"/>
      <c r="AD329" s="80" t="s">
        <v>1567</v>
      </c>
      <c r="AE329" s="80" t="s">
        <v>2571</v>
      </c>
      <c r="AF329" s="80" t="s">
        <v>3384</v>
      </c>
      <c r="AG329" s="80" t="s">
        <v>4088</v>
      </c>
      <c r="AH329" s="80" t="s">
        <v>4882</v>
      </c>
      <c r="AI329" s="80">
        <v>1489828</v>
      </c>
      <c r="AJ329" s="80">
        <v>123</v>
      </c>
      <c r="AK329" s="80">
        <v>4842</v>
      </c>
      <c r="AL329" s="80">
        <v>254</v>
      </c>
      <c r="AM329" s="80" t="s">
        <v>5614</v>
      </c>
      <c r="AN329" s="102" t="str">
        <f>HYPERLINK("https://www.youtube.com/watch?v=xA0pMB2eCz0")</f>
        <v>https://www.youtube.com/watch?v=xA0pMB2eCz0</v>
      </c>
      <c r="AO329" s="2"/>
      <c r="AP329" s="3"/>
      <c r="AQ329" s="3"/>
      <c r="AR329" s="3"/>
      <c r="AS329" s="3"/>
    </row>
    <row r="330" spans="1:45" ht="15">
      <c r="A330" s="66" t="s">
        <v>523</v>
      </c>
      <c r="B330" s="67"/>
      <c r="C330" s="67"/>
      <c r="D330" s="68"/>
      <c r="E330" s="70"/>
      <c r="F330" s="100" t="str">
        <f>HYPERLINK("https://i.ytimg.com/vi/fjCfQD0TYWE/default.jpg")</f>
        <v>https://i.ytimg.com/vi/fjCfQD0TYWE/default.jpg</v>
      </c>
      <c r="G330" s="67"/>
      <c r="H330" s="71"/>
      <c r="I330" s="72"/>
      <c r="J330" s="72"/>
      <c r="K330" s="71" t="s">
        <v>1568</v>
      </c>
      <c r="L330" s="75"/>
      <c r="M330" s="76">
        <v>5323.54833984375</v>
      </c>
      <c r="N330" s="76">
        <v>6332.0654296875</v>
      </c>
      <c r="O330" s="77"/>
      <c r="P330" s="78"/>
      <c r="Q330" s="78"/>
      <c r="R330" s="82"/>
      <c r="S330" s="82"/>
      <c r="T330" s="82"/>
      <c r="U330" s="82"/>
      <c r="V330" s="52"/>
      <c r="W330" s="52"/>
      <c r="X330" s="52"/>
      <c r="Y330" s="52"/>
      <c r="Z330" s="51"/>
      <c r="AA330" s="73">
        <v>330</v>
      </c>
      <c r="AB330" s="73"/>
      <c r="AC330" s="74"/>
      <c r="AD330" s="80" t="s">
        <v>1568</v>
      </c>
      <c r="AE330" s="80" t="s">
        <v>2572</v>
      </c>
      <c r="AF330" s="80" t="s">
        <v>3385</v>
      </c>
      <c r="AG330" s="80" t="s">
        <v>4089</v>
      </c>
      <c r="AH330" s="80" t="s">
        <v>4883</v>
      </c>
      <c r="AI330" s="80">
        <v>416052</v>
      </c>
      <c r="AJ330" s="80">
        <v>87</v>
      </c>
      <c r="AK330" s="80">
        <v>1829</v>
      </c>
      <c r="AL330" s="80">
        <v>109</v>
      </c>
      <c r="AM330" s="80" t="s">
        <v>5614</v>
      </c>
      <c r="AN330" s="102" t="str">
        <f>HYPERLINK("https://www.youtube.com/watch?v=fjCfQD0TYWE")</f>
        <v>https://www.youtube.com/watch?v=fjCfQD0TYWE</v>
      </c>
      <c r="AO330" s="2"/>
      <c r="AP330" s="3"/>
      <c r="AQ330" s="3"/>
      <c r="AR330" s="3"/>
      <c r="AS330" s="3"/>
    </row>
    <row r="331" spans="1:45" ht="15">
      <c r="A331" s="66" t="s">
        <v>524</v>
      </c>
      <c r="B331" s="67"/>
      <c r="C331" s="67"/>
      <c r="D331" s="68"/>
      <c r="E331" s="70"/>
      <c r="F331" s="100" t="str">
        <f>HYPERLINK("https://i.ytimg.com/vi/9MBvrFZol-Y/default.jpg")</f>
        <v>https://i.ytimg.com/vi/9MBvrFZol-Y/default.jpg</v>
      </c>
      <c r="G331" s="67"/>
      <c r="H331" s="71"/>
      <c r="I331" s="72"/>
      <c r="J331" s="72"/>
      <c r="K331" s="71" t="s">
        <v>1569</v>
      </c>
      <c r="L331" s="75"/>
      <c r="M331" s="76">
        <v>6560.3486328125</v>
      </c>
      <c r="N331" s="76">
        <v>6245.4443359375</v>
      </c>
      <c r="O331" s="77"/>
      <c r="P331" s="78"/>
      <c r="Q331" s="78"/>
      <c r="R331" s="82"/>
      <c r="S331" s="82"/>
      <c r="T331" s="82"/>
      <c r="U331" s="82"/>
      <c r="V331" s="52"/>
      <c r="W331" s="52"/>
      <c r="X331" s="52"/>
      <c r="Y331" s="52"/>
      <c r="Z331" s="51"/>
      <c r="AA331" s="73">
        <v>331</v>
      </c>
      <c r="AB331" s="73"/>
      <c r="AC331" s="74"/>
      <c r="AD331" s="80" t="s">
        <v>1569</v>
      </c>
      <c r="AE331" s="80" t="s">
        <v>2573</v>
      </c>
      <c r="AF331" s="80" t="s">
        <v>3386</v>
      </c>
      <c r="AG331" s="80" t="s">
        <v>4090</v>
      </c>
      <c r="AH331" s="80" t="s">
        <v>4884</v>
      </c>
      <c r="AI331" s="80">
        <v>2086672</v>
      </c>
      <c r="AJ331" s="80">
        <v>2047</v>
      </c>
      <c r="AK331" s="80">
        <v>27918</v>
      </c>
      <c r="AL331" s="80">
        <v>1953</v>
      </c>
      <c r="AM331" s="80" t="s">
        <v>5614</v>
      </c>
      <c r="AN331" s="102" t="str">
        <f>HYPERLINK("https://www.youtube.com/watch?v=9MBvrFZol-Y")</f>
        <v>https://www.youtube.com/watch?v=9MBvrFZol-Y</v>
      </c>
      <c r="AO331" s="2"/>
      <c r="AP331" s="3"/>
      <c r="AQ331" s="3"/>
      <c r="AR331" s="3"/>
      <c r="AS331" s="3"/>
    </row>
    <row r="332" spans="1:45" ht="15">
      <c r="A332" s="66" t="s">
        <v>525</v>
      </c>
      <c r="B332" s="67"/>
      <c r="C332" s="67"/>
      <c r="D332" s="68"/>
      <c r="E332" s="70"/>
      <c r="F332" s="100" t="str">
        <f>HYPERLINK("https://i.ytimg.com/vi/ws60lMZiyVs/default.jpg")</f>
        <v>https://i.ytimg.com/vi/ws60lMZiyVs/default.jpg</v>
      </c>
      <c r="G332" s="67"/>
      <c r="H332" s="71"/>
      <c r="I332" s="72"/>
      <c r="J332" s="72"/>
      <c r="K332" s="71" t="s">
        <v>1570</v>
      </c>
      <c r="L332" s="75"/>
      <c r="M332" s="76">
        <v>5495.71435546875</v>
      </c>
      <c r="N332" s="76">
        <v>4546.88037109375</v>
      </c>
      <c r="O332" s="77"/>
      <c r="P332" s="78"/>
      <c r="Q332" s="78"/>
      <c r="R332" s="82"/>
      <c r="S332" s="82"/>
      <c r="T332" s="82"/>
      <c r="U332" s="82"/>
      <c r="V332" s="52"/>
      <c r="W332" s="52"/>
      <c r="X332" s="52"/>
      <c r="Y332" s="52"/>
      <c r="Z332" s="51"/>
      <c r="AA332" s="73">
        <v>332</v>
      </c>
      <c r="AB332" s="73"/>
      <c r="AC332" s="74"/>
      <c r="AD332" s="80" t="s">
        <v>1570</v>
      </c>
      <c r="AE332" s="80" t="s">
        <v>2574</v>
      </c>
      <c r="AF332" s="80"/>
      <c r="AG332" s="80" t="s">
        <v>4091</v>
      </c>
      <c r="AH332" s="80" t="s">
        <v>4885</v>
      </c>
      <c r="AI332" s="80">
        <v>13559</v>
      </c>
      <c r="AJ332" s="80">
        <v>14</v>
      </c>
      <c r="AK332" s="80">
        <v>146</v>
      </c>
      <c r="AL332" s="80">
        <v>6</v>
      </c>
      <c r="AM332" s="80" t="s">
        <v>5614</v>
      </c>
      <c r="AN332" s="102" t="str">
        <f>HYPERLINK("https://www.youtube.com/watch?v=ws60lMZiyVs")</f>
        <v>https://www.youtube.com/watch?v=ws60lMZiyVs</v>
      </c>
      <c r="AO332" s="2"/>
      <c r="AP332" s="3"/>
      <c r="AQ332" s="3"/>
      <c r="AR332" s="3"/>
      <c r="AS332" s="3"/>
    </row>
    <row r="333" spans="1:45" ht="15">
      <c r="A333" s="66" t="s">
        <v>526</v>
      </c>
      <c r="B333" s="67"/>
      <c r="C333" s="67"/>
      <c r="D333" s="68"/>
      <c r="E333" s="70"/>
      <c r="F333" s="100" t="str">
        <f>HYPERLINK("https://i.ytimg.com/vi/4_amyK4RQrc/default.jpg")</f>
        <v>https://i.ytimg.com/vi/4_amyK4RQrc/default.jpg</v>
      </c>
      <c r="G333" s="67"/>
      <c r="H333" s="71"/>
      <c r="I333" s="72"/>
      <c r="J333" s="72"/>
      <c r="K333" s="71" t="s">
        <v>1571</v>
      </c>
      <c r="L333" s="75"/>
      <c r="M333" s="76">
        <v>5334.08056640625</v>
      </c>
      <c r="N333" s="76">
        <v>4078.768310546875</v>
      </c>
      <c r="O333" s="77"/>
      <c r="P333" s="78"/>
      <c r="Q333" s="78"/>
      <c r="R333" s="82"/>
      <c r="S333" s="82"/>
      <c r="T333" s="82"/>
      <c r="U333" s="82"/>
      <c r="V333" s="52"/>
      <c r="W333" s="52"/>
      <c r="X333" s="52"/>
      <c r="Y333" s="52"/>
      <c r="Z333" s="51"/>
      <c r="AA333" s="73">
        <v>333</v>
      </c>
      <c r="AB333" s="73"/>
      <c r="AC333" s="74"/>
      <c r="AD333" s="80" t="s">
        <v>1571</v>
      </c>
      <c r="AE333" s="80" t="s">
        <v>1571</v>
      </c>
      <c r="AF333" s="80"/>
      <c r="AG333" s="80" t="s">
        <v>4092</v>
      </c>
      <c r="AH333" s="80" t="s">
        <v>4886</v>
      </c>
      <c r="AI333" s="80">
        <v>6502</v>
      </c>
      <c r="AJ333" s="80">
        <v>3</v>
      </c>
      <c r="AK333" s="80">
        <v>16</v>
      </c>
      <c r="AL333" s="80">
        <v>1</v>
      </c>
      <c r="AM333" s="80" t="s">
        <v>5614</v>
      </c>
      <c r="AN333" s="102" t="str">
        <f>HYPERLINK("https://www.youtube.com/watch?v=4_amyK4RQrc")</f>
        <v>https://www.youtube.com/watch?v=4_amyK4RQrc</v>
      </c>
      <c r="AO333" s="2"/>
      <c r="AP333" s="3"/>
      <c r="AQ333" s="3"/>
      <c r="AR333" s="3"/>
      <c r="AS333" s="3"/>
    </row>
    <row r="334" spans="1:45" ht="15">
      <c r="A334" s="66" t="s">
        <v>218</v>
      </c>
      <c r="B334" s="67"/>
      <c r="C334" s="67"/>
      <c r="D334" s="68"/>
      <c r="E334" s="70"/>
      <c r="F334" s="100" t="str">
        <f>HYPERLINK("https://i.ytimg.com/vi/Cv-mAMQJzVU/default.jpg")</f>
        <v>https://i.ytimg.com/vi/Cv-mAMQJzVU/default.jpg</v>
      </c>
      <c r="G334" s="67"/>
      <c r="H334" s="71"/>
      <c r="I334" s="72"/>
      <c r="J334" s="72"/>
      <c r="K334" s="71" t="s">
        <v>1572</v>
      </c>
      <c r="L334" s="75"/>
      <c r="M334" s="76">
        <v>5244.01025390625</v>
      </c>
      <c r="N334" s="76">
        <v>4317.7734375</v>
      </c>
      <c r="O334" s="77"/>
      <c r="P334" s="78"/>
      <c r="Q334" s="78"/>
      <c r="R334" s="82"/>
      <c r="S334" s="82"/>
      <c r="T334" s="82"/>
      <c r="U334" s="82"/>
      <c r="V334" s="52"/>
      <c r="W334" s="52"/>
      <c r="X334" s="52"/>
      <c r="Y334" s="52"/>
      <c r="Z334" s="51"/>
      <c r="AA334" s="73">
        <v>334</v>
      </c>
      <c r="AB334" s="73"/>
      <c r="AC334" s="74"/>
      <c r="AD334" s="80" t="s">
        <v>1572</v>
      </c>
      <c r="AE334" s="80" t="s">
        <v>2575</v>
      </c>
      <c r="AF334" s="80" t="s">
        <v>3387</v>
      </c>
      <c r="AG334" s="80" t="s">
        <v>4093</v>
      </c>
      <c r="AH334" s="80" t="s">
        <v>4887</v>
      </c>
      <c r="AI334" s="80">
        <v>14202</v>
      </c>
      <c r="AJ334" s="80">
        <v>7</v>
      </c>
      <c r="AK334" s="80">
        <v>117</v>
      </c>
      <c r="AL334" s="80">
        <v>4</v>
      </c>
      <c r="AM334" s="80" t="s">
        <v>5614</v>
      </c>
      <c r="AN334" s="102" t="str">
        <f>HYPERLINK("https://www.youtube.com/watch?v=Cv-mAMQJzVU")</f>
        <v>https://www.youtube.com/watch?v=Cv-mAMQJzVU</v>
      </c>
      <c r="AO334" s="2"/>
      <c r="AP334" s="3"/>
      <c r="AQ334" s="3"/>
      <c r="AR334" s="3"/>
      <c r="AS334" s="3"/>
    </row>
    <row r="335" spans="1:45" ht="15">
      <c r="A335" s="66" t="s">
        <v>211</v>
      </c>
      <c r="B335" s="67"/>
      <c r="C335" s="67"/>
      <c r="D335" s="68"/>
      <c r="E335" s="70"/>
      <c r="F335" s="100" t="str">
        <f>HYPERLINK("https://i.ytimg.com/vi/KQJUT0fo1YY/default.jpg")</f>
        <v>https://i.ytimg.com/vi/KQJUT0fo1YY/default.jpg</v>
      </c>
      <c r="G335" s="67"/>
      <c r="H335" s="71"/>
      <c r="I335" s="72"/>
      <c r="J335" s="72"/>
      <c r="K335" s="71" t="s">
        <v>1573</v>
      </c>
      <c r="L335" s="75"/>
      <c r="M335" s="76">
        <v>5161.1396484375</v>
      </c>
      <c r="N335" s="76">
        <v>4180.439453125</v>
      </c>
      <c r="O335" s="77"/>
      <c r="P335" s="78"/>
      <c r="Q335" s="78"/>
      <c r="R335" s="82"/>
      <c r="S335" s="82"/>
      <c r="T335" s="82"/>
      <c r="U335" s="82"/>
      <c r="V335" s="52"/>
      <c r="W335" s="52"/>
      <c r="X335" s="52"/>
      <c r="Y335" s="52"/>
      <c r="Z335" s="51"/>
      <c r="AA335" s="73">
        <v>335</v>
      </c>
      <c r="AB335" s="73"/>
      <c r="AC335" s="74"/>
      <c r="AD335" s="80" t="s">
        <v>1573</v>
      </c>
      <c r="AE335" s="80" t="s">
        <v>2576</v>
      </c>
      <c r="AF335" s="80"/>
      <c r="AG335" s="80" t="s">
        <v>4081</v>
      </c>
      <c r="AH335" s="80" t="s">
        <v>4888</v>
      </c>
      <c r="AI335" s="80">
        <v>1154</v>
      </c>
      <c r="AJ335" s="80">
        <v>0</v>
      </c>
      <c r="AK335" s="80">
        <v>12</v>
      </c>
      <c r="AL335" s="80">
        <v>0</v>
      </c>
      <c r="AM335" s="80" t="s">
        <v>5614</v>
      </c>
      <c r="AN335" s="102" t="str">
        <f>HYPERLINK("https://www.youtube.com/watch?v=KQJUT0fo1YY")</f>
        <v>https://www.youtube.com/watch?v=KQJUT0fo1YY</v>
      </c>
      <c r="AO335" s="2"/>
      <c r="AP335" s="3"/>
      <c r="AQ335" s="3"/>
      <c r="AR335" s="3"/>
      <c r="AS335" s="3"/>
    </row>
    <row r="336" spans="1:45" ht="15">
      <c r="A336" s="66" t="s">
        <v>207</v>
      </c>
      <c r="B336" s="67"/>
      <c r="C336" s="67"/>
      <c r="D336" s="68"/>
      <c r="E336" s="70"/>
      <c r="F336" s="100" t="str">
        <f>HYPERLINK("https://i.ytimg.com/vi/PIHzj2xpKrc/default.jpg")</f>
        <v>https://i.ytimg.com/vi/PIHzj2xpKrc/default.jpg</v>
      </c>
      <c r="G336" s="67"/>
      <c r="H336" s="71"/>
      <c r="I336" s="72"/>
      <c r="J336" s="72"/>
      <c r="K336" s="71" t="s">
        <v>1574</v>
      </c>
      <c r="L336" s="75"/>
      <c r="M336" s="76">
        <v>5879.759765625</v>
      </c>
      <c r="N336" s="76">
        <v>4915.8681640625</v>
      </c>
      <c r="O336" s="77"/>
      <c r="P336" s="78"/>
      <c r="Q336" s="78"/>
      <c r="R336" s="82"/>
      <c r="S336" s="82"/>
      <c r="T336" s="82"/>
      <c r="U336" s="82"/>
      <c r="V336" s="52"/>
      <c r="W336" s="52"/>
      <c r="X336" s="52"/>
      <c r="Y336" s="52"/>
      <c r="Z336" s="51"/>
      <c r="AA336" s="73">
        <v>336</v>
      </c>
      <c r="AB336" s="73"/>
      <c r="AC336" s="74"/>
      <c r="AD336" s="80" t="s">
        <v>1574</v>
      </c>
      <c r="AE336" s="80" t="s">
        <v>2577</v>
      </c>
      <c r="AF336" s="80"/>
      <c r="AG336" s="80" t="s">
        <v>4094</v>
      </c>
      <c r="AH336" s="80" t="s">
        <v>4889</v>
      </c>
      <c r="AI336" s="80">
        <v>1572</v>
      </c>
      <c r="AJ336" s="80">
        <v>3</v>
      </c>
      <c r="AK336" s="80">
        <v>32</v>
      </c>
      <c r="AL336" s="80">
        <v>1</v>
      </c>
      <c r="AM336" s="80" t="s">
        <v>5614</v>
      </c>
      <c r="AN336" s="102" t="str">
        <f>HYPERLINK("https://www.youtube.com/watch?v=PIHzj2xpKrc")</f>
        <v>https://www.youtube.com/watch?v=PIHzj2xpKrc</v>
      </c>
      <c r="AO336" s="2"/>
      <c r="AP336" s="3"/>
      <c r="AQ336" s="3"/>
      <c r="AR336" s="3"/>
      <c r="AS336" s="3"/>
    </row>
    <row r="337" spans="1:45" ht="15">
      <c r="A337" s="66" t="s">
        <v>527</v>
      </c>
      <c r="B337" s="67"/>
      <c r="C337" s="67"/>
      <c r="D337" s="68"/>
      <c r="E337" s="70"/>
      <c r="F337" s="100" t="str">
        <f>HYPERLINK("https://i.ytimg.com/vi/znEfv3M1how/default.jpg")</f>
        <v>https://i.ytimg.com/vi/znEfv3M1how/default.jpg</v>
      </c>
      <c r="G337" s="67"/>
      <c r="H337" s="71"/>
      <c r="I337" s="72"/>
      <c r="J337" s="72"/>
      <c r="K337" s="71" t="s">
        <v>1575</v>
      </c>
      <c r="L337" s="75"/>
      <c r="M337" s="76">
        <v>4006.094482421875</v>
      </c>
      <c r="N337" s="76">
        <v>4692.921875</v>
      </c>
      <c r="O337" s="77"/>
      <c r="P337" s="78"/>
      <c r="Q337" s="78"/>
      <c r="R337" s="82"/>
      <c r="S337" s="82"/>
      <c r="T337" s="82"/>
      <c r="U337" s="82"/>
      <c r="V337" s="52"/>
      <c r="W337" s="52"/>
      <c r="X337" s="52"/>
      <c r="Y337" s="52"/>
      <c r="Z337" s="51"/>
      <c r="AA337" s="73">
        <v>337</v>
      </c>
      <c r="AB337" s="73"/>
      <c r="AC337" s="74"/>
      <c r="AD337" s="80" t="s">
        <v>1575</v>
      </c>
      <c r="AE337" s="80" t="s">
        <v>2578</v>
      </c>
      <c r="AF337" s="80" t="s">
        <v>3388</v>
      </c>
      <c r="AG337" s="80" t="s">
        <v>4095</v>
      </c>
      <c r="AH337" s="80" t="s">
        <v>4890</v>
      </c>
      <c r="AI337" s="80">
        <v>97286</v>
      </c>
      <c r="AJ337" s="80">
        <v>7</v>
      </c>
      <c r="AK337" s="80">
        <v>403</v>
      </c>
      <c r="AL337" s="80">
        <v>28</v>
      </c>
      <c r="AM337" s="80" t="s">
        <v>5614</v>
      </c>
      <c r="AN337" s="102" t="str">
        <f>HYPERLINK("https://www.youtube.com/watch?v=znEfv3M1how")</f>
        <v>https://www.youtube.com/watch?v=znEfv3M1how</v>
      </c>
      <c r="AO337" s="2"/>
      <c r="AP337" s="3"/>
      <c r="AQ337" s="3"/>
      <c r="AR337" s="3"/>
      <c r="AS337" s="3"/>
    </row>
    <row r="338" spans="1:45" ht="15">
      <c r="A338" s="66" t="s">
        <v>528</v>
      </c>
      <c r="B338" s="67"/>
      <c r="C338" s="67"/>
      <c r="D338" s="68"/>
      <c r="E338" s="70"/>
      <c r="F338" s="100" t="str">
        <f>HYPERLINK("https://i.ytimg.com/vi/VZ1ungMFvwc/default.jpg")</f>
        <v>https://i.ytimg.com/vi/VZ1ungMFvwc/default.jpg</v>
      </c>
      <c r="G338" s="67"/>
      <c r="H338" s="71"/>
      <c r="I338" s="72"/>
      <c r="J338" s="72"/>
      <c r="K338" s="71" t="s">
        <v>1576</v>
      </c>
      <c r="L338" s="75"/>
      <c r="M338" s="76">
        <v>5977.07568359375</v>
      </c>
      <c r="N338" s="76">
        <v>5161.28466796875</v>
      </c>
      <c r="O338" s="77"/>
      <c r="P338" s="78"/>
      <c r="Q338" s="78"/>
      <c r="R338" s="82"/>
      <c r="S338" s="82"/>
      <c r="T338" s="82"/>
      <c r="U338" s="82"/>
      <c r="V338" s="52"/>
      <c r="W338" s="52"/>
      <c r="X338" s="52"/>
      <c r="Y338" s="52"/>
      <c r="Z338" s="51"/>
      <c r="AA338" s="73">
        <v>338</v>
      </c>
      <c r="AB338" s="73"/>
      <c r="AC338" s="74"/>
      <c r="AD338" s="80" t="s">
        <v>1576</v>
      </c>
      <c r="AE338" s="80" t="s">
        <v>2579</v>
      </c>
      <c r="AF338" s="80" t="s">
        <v>3389</v>
      </c>
      <c r="AG338" s="80" t="s">
        <v>4096</v>
      </c>
      <c r="AH338" s="80" t="s">
        <v>4891</v>
      </c>
      <c r="AI338" s="80">
        <v>8179</v>
      </c>
      <c r="AJ338" s="80">
        <v>64</v>
      </c>
      <c r="AK338" s="80">
        <v>319</v>
      </c>
      <c r="AL338" s="80">
        <v>5</v>
      </c>
      <c r="AM338" s="80" t="s">
        <v>5614</v>
      </c>
      <c r="AN338" s="102" t="str">
        <f>HYPERLINK("https://www.youtube.com/watch?v=VZ1ungMFvwc")</f>
        <v>https://www.youtube.com/watch?v=VZ1ungMFvwc</v>
      </c>
      <c r="AO338" s="2"/>
      <c r="AP338" s="3"/>
      <c r="AQ338" s="3"/>
      <c r="AR338" s="3"/>
      <c r="AS338" s="3"/>
    </row>
    <row r="339" spans="1:45" ht="15">
      <c r="A339" s="66" t="s">
        <v>529</v>
      </c>
      <c r="B339" s="67"/>
      <c r="C339" s="67"/>
      <c r="D339" s="68"/>
      <c r="E339" s="70"/>
      <c r="F339" s="100" t="str">
        <f>HYPERLINK("https://i.ytimg.com/vi/mtTOB4tFRSs/default.jpg")</f>
        <v>https://i.ytimg.com/vi/mtTOB4tFRSs/default.jpg</v>
      </c>
      <c r="G339" s="67"/>
      <c r="H339" s="71"/>
      <c r="I339" s="72"/>
      <c r="J339" s="72"/>
      <c r="K339" s="71" t="s">
        <v>1577</v>
      </c>
      <c r="L339" s="75"/>
      <c r="M339" s="76">
        <v>6229.17431640625</v>
      </c>
      <c r="N339" s="76">
        <v>6190.33203125</v>
      </c>
      <c r="O339" s="77"/>
      <c r="P339" s="78"/>
      <c r="Q339" s="78"/>
      <c r="R339" s="82"/>
      <c r="S339" s="82"/>
      <c r="T339" s="82"/>
      <c r="U339" s="82"/>
      <c r="V339" s="52"/>
      <c r="W339" s="52"/>
      <c r="X339" s="52"/>
      <c r="Y339" s="52"/>
      <c r="Z339" s="51"/>
      <c r="AA339" s="73">
        <v>339</v>
      </c>
      <c r="AB339" s="73"/>
      <c r="AC339" s="74"/>
      <c r="AD339" s="80" t="s">
        <v>1577</v>
      </c>
      <c r="AE339" s="80" t="s">
        <v>2580</v>
      </c>
      <c r="AF339" s="80" t="s">
        <v>3390</v>
      </c>
      <c r="AG339" s="80" t="s">
        <v>4097</v>
      </c>
      <c r="AH339" s="80" t="s">
        <v>4892</v>
      </c>
      <c r="AI339" s="80">
        <v>51215</v>
      </c>
      <c r="AJ339" s="80">
        <v>16</v>
      </c>
      <c r="AK339" s="80">
        <v>435</v>
      </c>
      <c r="AL339" s="80">
        <v>22</v>
      </c>
      <c r="AM339" s="80" t="s">
        <v>5614</v>
      </c>
      <c r="AN339" s="102" t="str">
        <f>HYPERLINK("https://www.youtube.com/watch?v=mtTOB4tFRSs")</f>
        <v>https://www.youtube.com/watch?v=mtTOB4tFRSs</v>
      </c>
      <c r="AO339" s="2"/>
      <c r="AP339" s="3"/>
      <c r="AQ339" s="3"/>
      <c r="AR339" s="3"/>
      <c r="AS339" s="3"/>
    </row>
    <row r="340" spans="1:45" ht="15">
      <c r="A340" s="66" t="s">
        <v>195</v>
      </c>
      <c r="B340" s="67"/>
      <c r="C340" s="67"/>
      <c r="D340" s="68"/>
      <c r="E340" s="70"/>
      <c r="F340" s="100" t="str">
        <f>HYPERLINK("https://i.ytimg.com/vi/mJdaSD76RUQ/default.jpg")</f>
        <v>https://i.ytimg.com/vi/mJdaSD76RUQ/default.jpg</v>
      </c>
      <c r="G340" s="67"/>
      <c r="H340" s="71"/>
      <c r="I340" s="72"/>
      <c r="J340" s="72"/>
      <c r="K340" s="71" t="s">
        <v>1578</v>
      </c>
      <c r="L340" s="75"/>
      <c r="M340" s="76">
        <v>4433.5947265625</v>
      </c>
      <c r="N340" s="76">
        <v>4160.7265625</v>
      </c>
      <c r="O340" s="77"/>
      <c r="P340" s="78"/>
      <c r="Q340" s="78"/>
      <c r="R340" s="82"/>
      <c r="S340" s="82"/>
      <c r="T340" s="82"/>
      <c r="U340" s="82"/>
      <c r="V340" s="52"/>
      <c r="W340" s="52"/>
      <c r="X340" s="52"/>
      <c r="Y340" s="52"/>
      <c r="Z340" s="51"/>
      <c r="AA340" s="73">
        <v>340</v>
      </c>
      <c r="AB340" s="73"/>
      <c r="AC340" s="74"/>
      <c r="AD340" s="80" t="s">
        <v>1578</v>
      </c>
      <c r="AE340" s="80" t="s">
        <v>2581</v>
      </c>
      <c r="AF340" s="80" t="s">
        <v>3391</v>
      </c>
      <c r="AG340" s="80" t="s">
        <v>3887</v>
      </c>
      <c r="AH340" s="80" t="s">
        <v>4893</v>
      </c>
      <c r="AI340" s="80">
        <v>5814</v>
      </c>
      <c r="AJ340" s="80">
        <v>0</v>
      </c>
      <c r="AK340" s="80">
        <v>11</v>
      </c>
      <c r="AL340" s="80">
        <v>1</v>
      </c>
      <c r="AM340" s="80" t="s">
        <v>5614</v>
      </c>
      <c r="AN340" s="102" t="str">
        <f>HYPERLINK("https://www.youtube.com/watch?v=mJdaSD76RUQ")</f>
        <v>https://www.youtube.com/watch?v=mJdaSD76RUQ</v>
      </c>
      <c r="AO340" s="2"/>
      <c r="AP340" s="3"/>
      <c r="AQ340" s="3"/>
      <c r="AR340" s="3"/>
      <c r="AS340" s="3"/>
    </row>
    <row r="341" spans="1:45" ht="15">
      <c r="A341" s="66" t="s">
        <v>530</v>
      </c>
      <c r="B341" s="67"/>
      <c r="C341" s="67"/>
      <c r="D341" s="68"/>
      <c r="E341" s="70"/>
      <c r="F341" s="100" t="str">
        <f>HYPERLINK("https://i.ytimg.com/vi/Wf1LQkYSLsM/default.jpg")</f>
        <v>https://i.ytimg.com/vi/Wf1LQkYSLsM/default.jpg</v>
      </c>
      <c r="G341" s="67"/>
      <c r="H341" s="71"/>
      <c r="I341" s="72"/>
      <c r="J341" s="72"/>
      <c r="K341" s="71" t="s">
        <v>1579</v>
      </c>
      <c r="L341" s="75"/>
      <c r="M341" s="76">
        <v>1841.4888916015625</v>
      </c>
      <c r="N341" s="76">
        <v>4547.345703125</v>
      </c>
      <c r="O341" s="77"/>
      <c r="P341" s="78"/>
      <c r="Q341" s="78"/>
      <c r="R341" s="82"/>
      <c r="S341" s="82"/>
      <c r="T341" s="82"/>
      <c r="U341" s="82"/>
      <c r="V341" s="52"/>
      <c r="W341" s="52"/>
      <c r="X341" s="52"/>
      <c r="Y341" s="52"/>
      <c r="Z341" s="51"/>
      <c r="AA341" s="73">
        <v>341</v>
      </c>
      <c r="AB341" s="73"/>
      <c r="AC341" s="74"/>
      <c r="AD341" s="80" t="s">
        <v>1579</v>
      </c>
      <c r="AE341" s="80" t="s">
        <v>2582</v>
      </c>
      <c r="AF341" s="80" t="s">
        <v>3392</v>
      </c>
      <c r="AG341" s="80" t="s">
        <v>4098</v>
      </c>
      <c r="AH341" s="80" t="s">
        <v>4894</v>
      </c>
      <c r="AI341" s="80">
        <v>3707359</v>
      </c>
      <c r="AJ341" s="80">
        <v>7013</v>
      </c>
      <c r="AK341" s="80">
        <v>60222</v>
      </c>
      <c r="AL341" s="80">
        <v>2692</v>
      </c>
      <c r="AM341" s="80" t="s">
        <v>5614</v>
      </c>
      <c r="AN341" s="102" t="str">
        <f>HYPERLINK("https://www.youtube.com/watch?v=Wf1LQkYSLsM")</f>
        <v>https://www.youtube.com/watch?v=Wf1LQkYSLsM</v>
      </c>
      <c r="AO341" s="2"/>
      <c r="AP341" s="3"/>
      <c r="AQ341" s="3"/>
      <c r="AR341" s="3"/>
      <c r="AS341" s="3"/>
    </row>
    <row r="342" spans="1:45" ht="15">
      <c r="A342" s="66" t="s">
        <v>531</v>
      </c>
      <c r="B342" s="67"/>
      <c r="C342" s="67"/>
      <c r="D342" s="68"/>
      <c r="E342" s="70"/>
      <c r="F342" s="100" t="str">
        <f>HYPERLINK("https://i.ytimg.com/vi/4l0GN9EvyHs/default.jpg")</f>
        <v>https://i.ytimg.com/vi/4l0GN9EvyHs/default.jpg</v>
      </c>
      <c r="G342" s="67"/>
      <c r="H342" s="71"/>
      <c r="I342" s="72"/>
      <c r="J342" s="72"/>
      <c r="K342" s="71" t="s">
        <v>1580</v>
      </c>
      <c r="L342" s="75"/>
      <c r="M342" s="76">
        <v>1841.192626953125</v>
      </c>
      <c r="N342" s="76">
        <v>4499.517578125</v>
      </c>
      <c r="O342" s="77"/>
      <c r="P342" s="78"/>
      <c r="Q342" s="78"/>
      <c r="R342" s="82"/>
      <c r="S342" s="82"/>
      <c r="T342" s="82"/>
      <c r="U342" s="82"/>
      <c r="V342" s="52"/>
      <c r="W342" s="52"/>
      <c r="X342" s="52"/>
      <c r="Y342" s="52"/>
      <c r="Z342" s="51"/>
      <c r="AA342" s="73">
        <v>342</v>
      </c>
      <c r="AB342" s="73"/>
      <c r="AC342" s="74"/>
      <c r="AD342" s="80" t="s">
        <v>1580</v>
      </c>
      <c r="AE342" s="80" t="s">
        <v>2583</v>
      </c>
      <c r="AF342" s="80" t="s">
        <v>3393</v>
      </c>
      <c r="AG342" s="80" t="s">
        <v>4099</v>
      </c>
      <c r="AH342" s="80" t="s">
        <v>4895</v>
      </c>
      <c r="AI342" s="80">
        <v>136795</v>
      </c>
      <c r="AJ342" s="80">
        <v>160</v>
      </c>
      <c r="AK342" s="80">
        <v>1222</v>
      </c>
      <c r="AL342" s="80">
        <v>81</v>
      </c>
      <c r="AM342" s="80" t="s">
        <v>5614</v>
      </c>
      <c r="AN342" s="102" t="str">
        <f>HYPERLINK("https://www.youtube.com/watch?v=4l0GN9EvyHs")</f>
        <v>https://www.youtube.com/watch?v=4l0GN9EvyHs</v>
      </c>
      <c r="AO342" s="2"/>
      <c r="AP342" s="3"/>
      <c r="AQ342" s="3"/>
      <c r="AR342" s="3"/>
      <c r="AS342" s="3"/>
    </row>
    <row r="343" spans="1:45" ht="15">
      <c r="A343" s="66" t="s">
        <v>532</v>
      </c>
      <c r="B343" s="67"/>
      <c r="C343" s="67"/>
      <c r="D343" s="68"/>
      <c r="E343" s="70"/>
      <c r="F343" s="100" t="str">
        <f>HYPERLINK("https://i.ytimg.com/vi/ROP3QtpCe-k/default.jpg")</f>
        <v>https://i.ytimg.com/vi/ROP3QtpCe-k/default.jpg</v>
      </c>
      <c r="G343" s="67"/>
      <c r="H343" s="71"/>
      <c r="I343" s="72"/>
      <c r="J343" s="72"/>
      <c r="K343" s="71" t="s">
        <v>1581</v>
      </c>
      <c r="L343" s="75"/>
      <c r="M343" s="76">
        <v>1962.5830078125</v>
      </c>
      <c r="N343" s="76">
        <v>4862.3037109375</v>
      </c>
      <c r="O343" s="77"/>
      <c r="P343" s="78"/>
      <c r="Q343" s="78"/>
      <c r="R343" s="82"/>
      <c r="S343" s="82"/>
      <c r="T343" s="82"/>
      <c r="U343" s="82"/>
      <c r="V343" s="52"/>
      <c r="W343" s="52"/>
      <c r="X343" s="52"/>
      <c r="Y343" s="52"/>
      <c r="Z343" s="51"/>
      <c r="AA343" s="73">
        <v>343</v>
      </c>
      <c r="AB343" s="73"/>
      <c r="AC343" s="74"/>
      <c r="AD343" s="80" t="s">
        <v>1581</v>
      </c>
      <c r="AE343" s="80" t="s">
        <v>2584</v>
      </c>
      <c r="AF343" s="80"/>
      <c r="AG343" s="80" t="s">
        <v>3887</v>
      </c>
      <c r="AH343" s="80" t="s">
        <v>4896</v>
      </c>
      <c r="AI343" s="80">
        <v>2</v>
      </c>
      <c r="AJ343" s="80">
        <v>0</v>
      </c>
      <c r="AK343" s="80">
        <v>0</v>
      </c>
      <c r="AL343" s="80">
        <v>0</v>
      </c>
      <c r="AM343" s="80" t="s">
        <v>5614</v>
      </c>
      <c r="AN343" s="102" t="str">
        <f>HYPERLINK("https://www.youtube.com/watch?v=ROP3QtpCe-k")</f>
        <v>https://www.youtube.com/watch?v=ROP3QtpCe-k</v>
      </c>
      <c r="AO343" s="2"/>
      <c r="AP343" s="3"/>
      <c r="AQ343" s="3"/>
      <c r="AR343" s="3"/>
      <c r="AS343" s="3"/>
    </row>
    <row r="344" spans="1:45" ht="15">
      <c r="A344" s="66" t="s">
        <v>533</v>
      </c>
      <c r="B344" s="67"/>
      <c r="C344" s="67"/>
      <c r="D344" s="68"/>
      <c r="E344" s="70"/>
      <c r="F344" s="100" t="str">
        <f>HYPERLINK("https://i.ytimg.com/vi/GH-f-ovUFI4/default.jpg")</f>
        <v>https://i.ytimg.com/vi/GH-f-ovUFI4/default.jpg</v>
      </c>
      <c r="G344" s="67"/>
      <c r="H344" s="71"/>
      <c r="I344" s="72"/>
      <c r="J344" s="72"/>
      <c r="K344" s="71" t="s">
        <v>1582</v>
      </c>
      <c r="L344" s="75"/>
      <c r="M344" s="76">
        <v>2095.377685546875</v>
      </c>
      <c r="N344" s="76">
        <v>5132.1904296875</v>
      </c>
      <c r="O344" s="77"/>
      <c r="P344" s="78"/>
      <c r="Q344" s="78"/>
      <c r="R344" s="82"/>
      <c r="S344" s="82"/>
      <c r="T344" s="82"/>
      <c r="U344" s="82"/>
      <c r="V344" s="52"/>
      <c r="W344" s="52"/>
      <c r="X344" s="52"/>
      <c r="Y344" s="52"/>
      <c r="Z344" s="51"/>
      <c r="AA344" s="73">
        <v>344</v>
      </c>
      <c r="AB344" s="73"/>
      <c r="AC344" s="74"/>
      <c r="AD344" s="80" t="s">
        <v>1582</v>
      </c>
      <c r="AE344" s="80" t="s">
        <v>2584</v>
      </c>
      <c r="AF344" s="80"/>
      <c r="AG344" s="80" t="s">
        <v>3887</v>
      </c>
      <c r="AH344" s="80" t="s">
        <v>4897</v>
      </c>
      <c r="AI344" s="80">
        <v>4</v>
      </c>
      <c r="AJ344" s="80">
        <v>0</v>
      </c>
      <c r="AK344" s="80">
        <v>0</v>
      </c>
      <c r="AL344" s="80">
        <v>0</v>
      </c>
      <c r="AM344" s="80" t="s">
        <v>5614</v>
      </c>
      <c r="AN344" s="102" t="str">
        <f>HYPERLINK("https://www.youtube.com/watch?v=GH-f-ovUFI4")</f>
        <v>https://www.youtube.com/watch?v=GH-f-ovUFI4</v>
      </c>
      <c r="AO344" s="2"/>
      <c r="AP344" s="3"/>
      <c r="AQ344" s="3"/>
      <c r="AR344" s="3"/>
      <c r="AS344" s="3"/>
    </row>
    <row r="345" spans="1:45" ht="15">
      <c r="A345" s="66" t="s">
        <v>534</v>
      </c>
      <c r="B345" s="67"/>
      <c r="C345" s="67"/>
      <c r="D345" s="68"/>
      <c r="E345" s="70"/>
      <c r="F345" s="100" t="str">
        <f>HYPERLINK("https://i.ytimg.com/vi/3d-jHz4Dvzg/default.jpg")</f>
        <v>https://i.ytimg.com/vi/3d-jHz4Dvzg/default.jpg</v>
      </c>
      <c r="G345" s="67"/>
      <c r="H345" s="71"/>
      <c r="I345" s="72"/>
      <c r="J345" s="72"/>
      <c r="K345" s="71" t="s">
        <v>1583</v>
      </c>
      <c r="L345" s="75"/>
      <c r="M345" s="76">
        <v>2040.252197265625</v>
      </c>
      <c r="N345" s="76">
        <v>4956.33544921875</v>
      </c>
      <c r="O345" s="77"/>
      <c r="P345" s="78"/>
      <c r="Q345" s="78"/>
      <c r="R345" s="82"/>
      <c r="S345" s="82"/>
      <c r="T345" s="82"/>
      <c r="U345" s="82"/>
      <c r="V345" s="52"/>
      <c r="W345" s="52"/>
      <c r="X345" s="52"/>
      <c r="Y345" s="52"/>
      <c r="Z345" s="51"/>
      <c r="AA345" s="73">
        <v>345</v>
      </c>
      <c r="AB345" s="73"/>
      <c r="AC345" s="74"/>
      <c r="AD345" s="80" t="s">
        <v>1583</v>
      </c>
      <c r="AE345" s="80" t="s">
        <v>2584</v>
      </c>
      <c r="AF345" s="80"/>
      <c r="AG345" s="80" t="s">
        <v>3887</v>
      </c>
      <c r="AH345" s="80" t="s">
        <v>4898</v>
      </c>
      <c r="AI345" s="80">
        <v>5</v>
      </c>
      <c r="AJ345" s="80">
        <v>0</v>
      </c>
      <c r="AK345" s="80">
        <v>0</v>
      </c>
      <c r="AL345" s="80">
        <v>0</v>
      </c>
      <c r="AM345" s="80" t="s">
        <v>5614</v>
      </c>
      <c r="AN345" s="102" t="str">
        <f>HYPERLINK("https://www.youtube.com/watch?v=3d-jHz4Dvzg")</f>
        <v>https://www.youtube.com/watch?v=3d-jHz4Dvzg</v>
      </c>
      <c r="AO345" s="2"/>
      <c r="AP345" s="3"/>
      <c r="AQ345" s="3"/>
      <c r="AR345" s="3"/>
      <c r="AS345" s="3"/>
    </row>
    <row r="346" spans="1:45" ht="15">
      <c r="A346" s="66" t="s">
        <v>535</v>
      </c>
      <c r="B346" s="67"/>
      <c r="C346" s="67"/>
      <c r="D346" s="68"/>
      <c r="E346" s="70"/>
      <c r="F346" s="100" t="str">
        <f>HYPERLINK("https://i.ytimg.com/vi/oLJrMCBKZZk/default.jpg")</f>
        <v>https://i.ytimg.com/vi/oLJrMCBKZZk/default.jpg</v>
      </c>
      <c r="G346" s="67"/>
      <c r="H346" s="71"/>
      <c r="I346" s="72"/>
      <c r="J346" s="72"/>
      <c r="K346" s="71" t="s">
        <v>1584</v>
      </c>
      <c r="L346" s="75"/>
      <c r="M346" s="76">
        <v>2244.591796875</v>
      </c>
      <c r="N346" s="76">
        <v>5286.74658203125</v>
      </c>
      <c r="O346" s="77"/>
      <c r="P346" s="78"/>
      <c r="Q346" s="78"/>
      <c r="R346" s="82"/>
      <c r="S346" s="82"/>
      <c r="T346" s="82"/>
      <c r="U346" s="82"/>
      <c r="V346" s="52"/>
      <c r="W346" s="52"/>
      <c r="X346" s="52"/>
      <c r="Y346" s="52"/>
      <c r="Z346" s="51"/>
      <c r="AA346" s="73">
        <v>346</v>
      </c>
      <c r="AB346" s="73"/>
      <c r="AC346" s="74"/>
      <c r="AD346" s="80" t="s">
        <v>1584</v>
      </c>
      <c r="AE346" s="80" t="s">
        <v>2584</v>
      </c>
      <c r="AF346" s="80"/>
      <c r="AG346" s="80" t="s">
        <v>3887</v>
      </c>
      <c r="AH346" s="80" t="s">
        <v>4899</v>
      </c>
      <c r="AI346" s="80">
        <v>4</v>
      </c>
      <c r="AJ346" s="80">
        <v>0</v>
      </c>
      <c r="AK346" s="80">
        <v>0</v>
      </c>
      <c r="AL346" s="80">
        <v>0</v>
      </c>
      <c r="AM346" s="80" t="s">
        <v>5614</v>
      </c>
      <c r="AN346" s="102" t="str">
        <f>HYPERLINK("https://www.youtube.com/watch?v=oLJrMCBKZZk")</f>
        <v>https://www.youtube.com/watch?v=oLJrMCBKZZk</v>
      </c>
      <c r="AO346" s="2"/>
      <c r="AP346" s="3"/>
      <c r="AQ346" s="3"/>
      <c r="AR346" s="3"/>
      <c r="AS346" s="3"/>
    </row>
    <row r="347" spans="1:45" ht="15">
      <c r="A347" s="66" t="s">
        <v>536</v>
      </c>
      <c r="B347" s="67"/>
      <c r="C347" s="67"/>
      <c r="D347" s="68"/>
      <c r="E347" s="70"/>
      <c r="F347" s="100" t="str">
        <f>HYPERLINK("https://i.ytimg.com/vi/HqgPz0eD2RM/default.jpg")</f>
        <v>https://i.ytimg.com/vi/HqgPz0eD2RM/default.jpg</v>
      </c>
      <c r="G347" s="67"/>
      <c r="H347" s="71"/>
      <c r="I347" s="72"/>
      <c r="J347" s="72"/>
      <c r="K347" s="71" t="s">
        <v>1585</v>
      </c>
      <c r="L347" s="75"/>
      <c r="M347" s="76">
        <v>1904.5694580078125</v>
      </c>
      <c r="N347" s="76">
        <v>4715.61083984375</v>
      </c>
      <c r="O347" s="77"/>
      <c r="P347" s="78"/>
      <c r="Q347" s="78"/>
      <c r="R347" s="82"/>
      <c r="S347" s="82"/>
      <c r="T347" s="82"/>
      <c r="U347" s="82"/>
      <c r="V347" s="52"/>
      <c r="W347" s="52"/>
      <c r="X347" s="52"/>
      <c r="Y347" s="52"/>
      <c r="Z347" s="51"/>
      <c r="AA347" s="73">
        <v>347</v>
      </c>
      <c r="AB347" s="73"/>
      <c r="AC347" s="74"/>
      <c r="AD347" s="80" t="s">
        <v>1585</v>
      </c>
      <c r="AE347" s="80" t="s">
        <v>2585</v>
      </c>
      <c r="AF347" s="80" t="s">
        <v>3394</v>
      </c>
      <c r="AG347" s="80" t="s">
        <v>4100</v>
      </c>
      <c r="AH347" s="80" t="s">
        <v>4900</v>
      </c>
      <c r="AI347" s="80">
        <v>9838</v>
      </c>
      <c r="AJ347" s="80">
        <v>4</v>
      </c>
      <c r="AK347" s="80">
        <v>60</v>
      </c>
      <c r="AL347" s="80">
        <v>2</v>
      </c>
      <c r="AM347" s="80" t="s">
        <v>5614</v>
      </c>
      <c r="AN347" s="102" t="str">
        <f>HYPERLINK("https://www.youtube.com/watch?v=HqgPz0eD2RM")</f>
        <v>https://www.youtube.com/watch?v=HqgPz0eD2RM</v>
      </c>
      <c r="AO347" s="2"/>
      <c r="AP347" s="3"/>
      <c r="AQ347" s="3"/>
      <c r="AR347" s="3"/>
      <c r="AS347" s="3"/>
    </row>
    <row r="348" spans="1:45" ht="15">
      <c r="A348" s="66" t="s">
        <v>537</v>
      </c>
      <c r="B348" s="67"/>
      <c r="C348" s="67"/>
      <c r="D348" s="68"/>
      <c r="E348" s="70"/>
      <c r="F348" s="100" t="str">
        <f>HYPERLINK("https://i.ytimg.com/vi/BYKK6Qo_gDg/default.jpg")</f>
        <v>https://i.ytimg.com/vi/BYKK6Qo_gDg/default.jpg</v>
      </c>
      <c r="G348" s="67"/>
      <c r="H348" s="71"/>
      <c r="I348" s="72"/>
      <c r="J348" s="72"/>
      <c r="K348" s="71" t="s">
        <v>1586</v>
      </c>
      <c r="L348" s="75"/>
      <c r="M348" s="76">
        <v>2111.622314453125</v>
      </c>
      <c r="N348" s="76">
        <v>5184.8037109375</v>
      </c>
      <c r="O348" s="77"/>
      <c r="P348" s="78"/>
      <c r="Q348" s="78"/>
      <c r="R348" s="82"/>
      <c r="S348" s="82"/>
      <c r="T348" s="82"/>
      <c r="U348" s="82"/>
      <c r="V348" s="52"/>
      <c r="W348" s="52"/>
      <c r="X348" s="52"/>
      <c r="Y348" s="52"/>
      <c r="Z348" s="51"/>
      <c r="AA348" s="73">
        <v>348</v>
      </c>
      <c r="AB348" s="73"/>
      <c r="AC348" s="74"/>
      <c r="AD348" s="80" t="s">
        <v>1586</v>
      </c>
      <c r="AE348" s="80" t="s">
        <v>2586</v>
      </c>
      <c r="AF348" s="80" t="s">
        <v>3395</v>
      </c>
      <c r="AG348" s="80" t="s">
        <v>3887</v>
      </c>
      <c r="AH348" s="80" t="s">
        <v>4901</v>
      </c>
      <c r="AI348" s="80">
        <v>245063</v>
      </c>
      <c r="AJ348" s="80">
        <v>0</v>
      </c>
      <c r="AK348" s="80">
        <v>2226</v>
      </c>
      <c r="AL348" s="80">
        <v>529</v>
      </c>
      <c r="AM348" s="80" t="s">
        <v>5614</v>
      </c>
      <c r="AN348" s="102" t="str">
        <f>HYPERLINK("https://www.youtube.com/watch?v=BYKK6Qo_gDg")</f>
        <v>https://www.youtube.com/watch?v=BYKK6Qo_gDg</v>
      </c>
      <c r="AO348" s="2"/>
      <c r="AP348" s="3"/>
      <c r="AQ348" s="3"/>
      <c r="AR348" s="3"/>
      <c r="AS348" s="3"/>
    </row>
    <row r="349" spans="1:45" ht="15">
      <c r="A349" s="66" t="s">
        <v>538</v>
      </c>
      <c r="B349" s="67"/>
      <c r="C349" s="67"/>
      <c r="D349" s="68"/>
      <c r="E349" s="70"/>
      <c r="F349" s="100" t="str">
        <f>HYPERLINK("https://i.ytimg.com/vi/YFl4WacPmUQ/default.jpg")</f>
        <v>https://i.ytimg.com/vi/YFl4WacPmUQ/default.jpg</v>
      </c>
      <c r="G349" s="67"/>
      <c r="H349" s="71"/>
      <c r="I349" s="72"/>
      <c r="J349" s="72"/>
      <c r="K349" s="71" t="s">
        <v>1587</v>
      </c>
      <c r="L349" s="75"/>
      <c r="M349" s="76">
        <v>1898.224853515625</v>
      </c>
      <c r="N349" s="76">
        <v>4642.69921875</v>
      </c>
      <c r="O349" s="77"/>
      <c r="P349" s="78"/>
      <c r="Q349" s="78"/>
      <c r="R349" s="82"/>
      <c r="S349" s="82"/>
      <c r="T349" s="82"/>
      <c r="U349" s="82"/>
      <c r="V349" s="52"/>
      <c r="W349" s="52"/>
      <c r="X349" s="52"/>
      <c r="Y349" s="52"/>
      <c r="Z349" s="51"/>
      <c r="AA349" s="73">
        <v>349</v>
      </c>
      <c r="AB349" s="73"/>
      <c r="AC349" s="74"/>
      <c r="AD349" s="80" t="s">
        <v>1587</v>
      </c>
      <c r="AE349" s="80" t="s">
        <v>2587</v>
      </c>
      <c r="AF349" s="80" t="s">
        <v>3396</v>
      </c>
      <c r="AG349" s="80" t="s">
        <v>4101</v>
      </c>
      <c r="AH349" s="80" t="s">
        <v>4902</v>
      </c>
      <c r="AI349" s="80">
        <v>153331</v>
      </c>
      <c r="AJ349" s="80">
        <v>36</v>
      </c>
      <c r="AK349" s="80">
        <v>488</v>
      </c>
      <c r="AL349" s="80">
        <v>43</v>
      </c>
      <c r="AM349" s="80" t="s">
        <v>5614</v>
      </c>
      <c r="AN349" s="102" t="str">
        <f>HYPERLINK("https://www.youtube.com/watch?v=YFl4WacPmUQ")</f>
        <v>https://www.youtube.com/watch?v=YFl4WacPmUQ</v>
      </c>
      <c r="AO349" s="2"/>
      <c r="AP349" s="3"/>
      <c r="AQ349" s="3"/>
      <c r="AR349" s="3"/>
      <c r="AS349" s="3"/>
    </row>
    <row r="350" spans="1:45" ht="15">
      <c r="A350" s="66" t="s">
        <v>539</v>
      </c>
      <c r="B350" s="67"/>
      <c r="C350" s="67"/>
      <c r="D350" s="68"/>
      <c r="E350" s="70"/>
      <c r="F350" s="100" t="str">
        <f>HYPERLINK("https://i.ytimg.com/vi/evONhQbuid8/default.jpg")</f>
        <v>https://i.ytimg.com/vi/evONhQbuid8/default.jpg</v>
      </c>
      <c r="G350" s="67"/>
      <c r="H350" s="71"/>
      <c r="I350" s="72"/>
      <c r="J350" s="72"/>
      <c r="K350" s="71" t="s">
        <v>1588</v>
      </c>
      <c r="L350" s="75"/>
      <c r="M350" s="76">
        <v>2135.732177734375</v>
      </c>
      <c r="N350" s="76">
        <v>5153.0732421875</v>
      </c>
      <c r="O350" s="77"/>
      <c r="P350" s="78"/>
      <c r="Q350" s="78"/>
      <c r="R350" s="82"/>
      <c r="S350" s="82"/>
      <c r="T350" s="82"/>
      <c r="U350" s="82"/>
      <c r="V350" s="52"/>
      <c r="W350" s="52"/>
      <c r="X350" s="52"/>
      <c r="Y350" s="52"/>
      <c r="Z350" s="51"/>
      <c r="AA350" s="73">
        <v>350</v>
      </c>
      <c r="AB350" s="73"/>
      <c r="AC350" s="74"/>
      <c r="AD350" s="80" t="s">
        <v>1588</v>
      </c>
      <c r="AE350" s="80" t="s">
        <v>2588</v>
      </c>
      <c r="AF350" s="80" t="s">
        <v>3397</v>
      </c>
      <c r="AG350" s="80" t="s">
        <v>4102</v>
      </c>
      <c r="AH350" s="80" t="s">
        <v>4903</v>
      </c>
      <c r="AI350" s="80">
        <v>371</v>
      </c>
      <c r="AJ350" s="80">
        <v>0</v>
      </c>
      <c r="AK350" s="80">
        <v>13</v>
      </c>
      <c r="AL350" s="80">
        <v>0</v>
      </c>
      <c r="AM350" s="80" t="s">
        <v>5614</v>
      </c>
      <c r="AN350" s="102" t="str">
        <f>HYPERLINK("https://www.youtube.com/watch?v=evONhQbuid8")</f>
        <v>https://www.youtube.com/watch?v=evONhQbuid8</v>
      </c>
      <c r="AO350" s="2"/>
      <c r="AP350" s="3"/>
      <c r="AQ350" s="3"/>
      <c r="AR350" s="3"/>
      <c r="AS350" s="3"/>
    </row>
    <row r="351" spans="1:45" ht="15">
      <c r="A351" s="66" t="s">
        <v>540</v>
      </c>
      <c r="B351" s="67"/>
      <c r="C351" s="67"/>
      <c r="D351" s="68"/>
      <c r="E351" s="70"/>
      <c r="F351" s="100" t="str">
        <f>HYPERLINK("https://i.ytimg.com/vi/y6z0Tq1a8fs/default.jpg")</f>
        <v>https://i.ytimg.com/vi/y6z0Tq1a8fs/default.jpg</v>
      </c>
      <c r="G351" s="67"/>
      <c r="H351" s="71"/>
      <c r="I351" s="72"/>
      <c r="J351" s="72"/>
      <c r="K351" s="71" t="s">
        <v>1589</v>
      </c>
      <c r="L351" s="75"/>
      <c r="M351" s="76">
        <v>1965.7657470703125</v>
      </c>
      <c r="N351" s="76">
        <v>4939.01806640625</v>
      </c>
      <c r="O351" s="77"/>
      <c r="P351" s="78"/>
      <c r="Q351" s="78"/>
      <c r="R351" s="82"/>
      <c r="S351" s="82"/>
      <c r="T351" s="82"/>
      <c r="U351" s="82"/>
      <c r="V351" s="52"/>
      <c r="W351" s="52"/>
      <c r="X351" s="52"/>
      <c r="Y351" s="52"/>
      <c r="Z351" s="51"/>
      <c r="AA351" s="73">
        <v>351</v>
      </c>
      <c r="AB351" s="73"/>
      <c r="AC351" s="74"/>
      <c r="AD351" s="80" t="s">
        <v>1589</v>
      </c>
      <c r="AE351" s="80" t="s">
        <v>2589</v>
      </c>
      <c r="AF351" s="80" t="s">
        <v>3398</v>
      </c>
      <c r="AG351" s="80" t="s">
        <v>3887</v>
      </c>
      <c r="AH351" s="80" t="s">
        <v>4904</v>
      </c>
      <c r="AI351" s="80">
        <v>239257</v>
      </c>
      <c r="AJ351" s="80">
        <v>0</v>
      </c>
      <c r="AK351" s="80">
        <v>2141</v>
      </c>
      <c r="AL351" s="80">
        <v>352</v>
      </c>
      <c r="AM351" s="80" t="s">
        <v>5614</v>
      </c>
      <c r="AN351" s="102" t="str">
        <f>HYPERLINK("https://www.youtube.com/watch?v=y6z0Tq1a8fs")</f>
        <v>https://www.youtube.com/watch?v=y6z0Tq1a8fs</v>
      </c>
      <c r="AO351" s="2"/>
      <c r="AP351" s="3"/>
      <c r="AQ351" s="3"/>
      <c r="AR351" s="3"/>
      <c r="AS351" s="3"/>
    </row>
    <row r="352" spans="1:45" ht="15">
      <c r="A352" s="66" t="s">
        <v>541</v>
      </c>
      <c r="B352" s="67"/>
      <c r="C352" s="67"/>
      <c r="D352" s="68"/>
      <c r="E352" s="70"/>
      <c r="F352" s="100" t="str">
        <f>HYPERLINK("https://i.ytimg.com/vi/RpwzjF-dmhs/default.jpg")</f>
        <v>https://i.ytimg.com/vi/RpwzjF-dmhs/default.jpg</v>
      </c>
      <c r="G352" s="67"/>
      <c r="H352" s="71"/>
      <c r="I352" s="72"/>
      <c r="J352" s="72"/>
      <c r="K352" s="71" t="s">
        <v>1590</v>
      </c>
      <c r="L352" s="75"/>
      <c r="M352" s="76">
        <v>2308.932861328125</v>
      </c>
      <c r="N352" s="76">
        <v>5564.9287109375</v>
      </c>
      <c r="O352" s="77"/>
      <c r="P352" s="78"/>
      <c r="Q352" s="78"/>
      <c r="R352" s="82"/>
      <c r="S352" s="82"/>
      <c r="T352" s="82"/>
      <c r="U352" s="82"/>
      <c r="V352" s="52"/>
      <c r="W352" s="52"/>
      <c r="X352" s="52"/>
      <c r="Y352" s="52"/>
      <c r="Z352" s="51"/>
      <c r="AA352" s="73">
        <v>352</v>
      </c>
      <c r="AB352" s="73"/>
      <c r="AC352" s="74"/>
      <c r="AD352" s="80" t="s">
        <v>1590</v>
      </c>
      <c r="AE352" s="80" t="s">
        <v>2590</v>
      </c>
      <c r="AF352" s="80" t="s">
        <v>3399</v>
      </c>
      <c r="AG352" s="80" t="s">
        <v>3889</v>
      </c>
      <c r="AH352" s="80" t="s">
        <v>4905</v>
      </c>
      <c r="AI352" s="80">
        <v>24953</v>
      </c>
      <c r="AJ352" s="80">
        <v>6</v>
      </c>
      <c r="AK352" s="80">
        <v>255</v>
      </c>
      <c r="AL352" s="80">
        <v>9</v>
      </c>
      <c r="AM352" s="80" t="s">
        <v>5614</v>
      </c>
      <c r="AN352" s="102" t="str">
        <f>HYPERLINK("https://www.youtube.com/watch?v=RpwzjF-dmhs")</f>
        <v>https://www.youtube.com/watch?v=RpwzjF-dmhs</v>
      </c>
      <c r="AO352" s="2"/>
      <c r="AP352" s="3"/>
      <c r="AQ352" s="3"/>
      <c r="AR352" s="3"/>
      <c r="AS352" s="3"/>
    </row>
    <row r="353" spans="1:45" ht="15">
      <c r="A353" s="66" t="s">
        <v>542</v>
      </c>
      <c r="B353" s="67"/>
      <c r="C353" s="67"/>
      <c r="D353" s="68"/>
      <c r="E353" s="70"/>
      <c r="F353" s="100" t="str">
        <f>HYPERLINK("https://i.ytimg.com/vi/Y3M7dJVfE8M/default.jpg")</f>
        <v>https://i.ytimg.com/vi/Y3M7dJVfE8M/default.jpg</v>
      </c>
      <c r="G353" s="67"/>
      <c r="H353" s="71"/>
      <c r="I353" s="72"/>
      <c r="J353" s="72"/>
      <c r="K353" s="71" t="s">
        <v>1591</v>
      </c>
      <c r="L353" s="75"/>
      <c r="M353" s="76">
        <v>2038.336669921875</v>
      </c>
      <c r="N353" s="76">
        <v>4948.2578125</v>
      </c>
      <c r="O353" s="77"/>
      <c r="P353" s="78"/>
      <c r="Q353" s="78"/>
      <c r="R353" s="82"/>
      <c r="S353" s="82"/>
      <c r="T353" s="82"/>
      <c r="U353" s="82"/>
      <c r="V353" s="52"/>
      <c r="W353" s="52"/>
      <c r="X353" s="52"/>
      <c r="Y353" s="52"/>
      <c r="Z353" s="51"/>
      <c r="AA353" s="73">
        <v>353</v>
      </c>
      <c r="AB353" s="73"/>
      <c r="AC353" s="74"/>
      <c r="AD353" s="80" t="s">
        <v>1591</v>
      </c>
      <c r="AE353" s="80" t="s">
        <v>2591</v>
      </c>
      <c r="AF353" s="80" t="s">
        <v>3400</v>
      </c>
      <c r="AG353" s="80" t="s">
        <v>4103</v>
      </c>
      <c r="AH353" s="80" t="s">
        <v>4906</v>
      </c>
      <c r="AI353" s="80">
        <v>87454</v>
      </c>
      <c r="AJ353" s="80">
        <v>34</v>
      </c>
      <c r="AK353" s="80">
        <v>1372</v>
      </c>
      <c r="AL353" s="80">
        <v>58</v>
      </c>
      <c r="AM353" s="80" t="s">
        <v>5614</v>
      </c>
      <c r="AN353" s="102" t="str">
        <f>HYPERLINK("https://www.youtube.com/watch?v=Y3M7dJVfE8M")</f>
        <v>https://www.youtube.com/watch?v=Y3M7dJVfE8M</v>
      </c>
      <c r="AO353" s="2"/>
      <c r="AP353" s="3"/>
      <c r="AQ353" s="3"/>
      <c r="AR353" s="3"/>
      <c r="AS353" s="3"/>
    </row>
    <row r="354" spans="1:45" ht="15">
      <c r="A354" s="66" t="s">
        <v>543</v>
      </c>
      <c r="B354" s="67"/>
      <c r="C354" s="67"/>
      <c r="D354" s="68"/>
      <c r="E354" s="70"/>
      <c r="F354" s="100" t="str">
        <f>HYPERLINK("https://i.ytimg.com/vi/87yYng-6-8o/default.jpg")</f>
        <v>https://i.ytimg.com/vi/87yYng-6-8o/default.jpg</v>
      </c>
      <c r="G354" s="67"/>
      <c r="H354" s="71"/>
      <c r="I354" s="72"/>
      <c r="J354" s="72"/>
      <c r="K354" s="71" t="s">
        <v>1592</v>
      </c>
      <c r="L354" s="75"/>
      <c r="M354" s="76">
        <v>1996.091796875</v>
      </c>
      <c r="N354" s="76">
        <v>4930.40966796875</v>
      </c>
      <c r="O354" s="77"/>
      <c r="P354" s="78"/>
      <c r="Q354" s="78"/>
      <c r="R354" s="82"/>
      <c r="S354" s="82"/>
      <c r="T354" s="82"/>
      <c r="U354" s="82"/>
      <c r="V354" s="52"/>
      <c r="W354" s="52"/>
      <c r="X354" s="52"/>
      <c r="Y354" s="52"/>
      <c r="Z354" s="51"/>
      <c r="AA354" s="73">
        <v>354</v>
      </c>
      <c r="AB354" s="73"/>
      <c r="AC354" s="74"/>
      <c r="AD354" s="80" t="s">
        <v>1592</v>
      </c>
      <c r="AE354" s="80" t="s">
        <v>2592</v>
      </c>
      <c r="AF354" s="80" t="s">
        <v>3401</v>
      </c>
      <c r="AG354" s="80" t="s">
        <v>4104</v>
      </c>
      <c r="AH354" s="80" t="s">
        <v>4907</v>
      </c>
      <c r="AI354" s="80">
        <v>154819</v>
      </c>
      <c r="AJ354" s="80">
        <v>43</v>
      </c>
      <c r="AK354" s="80">
        <v>1598</v>
      </c>
      <c r="AL354" s="80">
        <v>70</v>
      </c>
      <c r="AM354" s="80" t="s">
        <v>5614</v>
      </c>
      <c r="AN354" s="102" t="str">
        <f>HYPERLINK("https://www.youtube.com/watch?v=87yYng-6-8o")</f>
        <v>https://www.youtube.com/watch?v=87yYng-6-8o</v>
      </c>
      <c r="AO354" s="2"/>
      <c r="AP354" s="3"/>
      <c r="AQ354" s="3"/>
      <c r="AR354" s="3"/>
      <c r="AS354" s="3"/>
    </row>
    <row r="355" spans="1:45" ht="15">
      <c r="A355" s="66" t="s">
        <v>544</v>
      </c>
      <c r="B355" s="67"/>
      <c r="C355" s="67"/>
      <c r="D355" s="68"/>
      <c r="E355" s="70"/>
      <c r="F355" s="100" t="str">
        <f>HYPERLINK("https://i.ytimg.com/vi/qHyu44L7vOk/default.jpg")</f>
        <v>https://i.ytimg.com/vi/qHyu44L7vOk/default.jpg</v>
      </c>
      <c r="G355" s="67"/>
      <c r="H355" s="71"/>
      <c r="I355" s="72"/>
      <c r="J355" s="72"/>
      <c r="K355" s="71" t="s">
        <v>1593</v>
      </c>
      <c r="L355" s="75"/>
      <c r="M355" s="76">
        <v>2212.72705078125</v>
      </c>
      <c r="N355" s="76">
        <v>5413.486328125</v>
      </c>
      <c r="O355" s="77"/>
      <c r="P355" s="78"/>
      <c r="Q355" s="78"/>
      <c r="R355" s="82"/>
      <c r="S355" s="82"/>
      <c r="T355" s="82"/>
      <c r="U355" s="82"/>
      <c r="V355" s="52"/>
      <c r="W355" s="52"/>
      <c r="X355" s="52"/>
      <c r="Y355" s="52"/>
      <c r="Z355" s="51"/>
      <c r="AA355" s="73">
        <v>355</v>
      </c>
      <c r="AB355" s="73"/>
      <c r="AC355" s="74"/>
      <c r="AD355" s="80" t="s">
        <v>1593</v>
      </c>
      <c r="AE355" s="80" t="s">
        <v>2593</v>
      </c>
      <c r="AF355" s="80" t="s">
        <v>3402</v>
      </c>
      <c r="AG355" s="80" t="s">
        <v>4103</v>
      </c>
      <c r="AH355" s="80" t="s">
        <v>4908</v>
      </c>
      <c r="AI355" s="80">
        <v>110583</v>
      </c>
      <c r="AJ355" s="80">
        <v>26</v>
      </c>
      <c r="AK355" s="80">
        <v>1373</v>
      </c>
      <c r="AL355" s="80">
        <v>55</v>
      </c>
      <c r="AM355" s="80" t="s">
        <v>5614</v>
      </c>
      <c r="AN355" s="102" t="str">
        <f>HYPERLINK("https://www.youtube.com/watch?v=qHyu44L7vOk")</f>
        <v>https://www.youtube.com/watch?v=qHyu44L7vOk</v>
      </c>
      <c r="AO355" s="2"/>
      <c r="AP355" s="3"/>
      <c r="AQ355" s="3"/>
      <c r="AR355" s="3"/>
      <c r="AS355" s="3"/>
    </row>
    <row r="356" spans="1:45" ht="15">
      <c r="A356" s="66" t="s">
        <v>545</v>
      </c>
      <c r="B356" s="67"/>
      <c r="C356" s="67"/>
      <c r="D356" s="68"/>
      <c r="E356" s="70"/>
      <c r="F356" s="100" t="str">
        <f>HYPERLINK("https://i.ytimg.com/vi/sXYK6OHyrt4/default.jpg")</f>
        <v>https://i.ytimg.com/vi/sXYK6OHyrt4/default.jpg</v>
      </c>
      <c r="G356" s="67"/>
      <c r="H356" s="71"/>
      <c r="I356" s="72"/>
      <c r="J356" s="72"/>
      <c r="K356" s="71" t="s">
        <v>1594</v>
      </c>
      <c r="L356" s="75"/>
      <c r="M356" s="76">
        <v>2181.603759765625</v>
      </c>
      <c r="N356" s="76">
        <v>5185.29736328125</v>
      </c>
      <c r="O356" s="77"/>
      <c r="P356" s="78"/>
      <c r="Q356" s="78"/>
      <c r="R356" s="82"/>
      <c r="S356" s="82"/>
      <c r="T356" s="82"/>
      <c r="U356" s="82"/>
      <c r="V356" s="52"/>
      <c r="W356" s="52"/>
      <c r="X356" s="52"/>
      <c r="Y356" s="52"/>
      <c r="Z356" s="51"/>
      <c r="AA356" s="73">
        <v>356</v>
      </c>
      <c r="AB356" s="73"/>
      <c r="AC356" s="74"/>
      <c r="AD356" s="80" t="s">
        <v>1594</v>
      </c>
      <c r="AE356" s="80" t="s">
        <v>2594</v>
      </c>
      <c r="AF356" s="80" t="s">
        <v>3403</v>
      </c>
      <c r="AG356" s="80" t="s">
        <v>4105</v>
      </c>
      <c r="AH356" s="80" t="s">
        <v>4909</v>
      </c>
      <c r="AI356" s="80">
        <v>35350</v>
      </c>
      <c r="AJ356" s="80">
        <v>96</v>
      </c>
      <c r="AK356" s="80">
        <v>607</v>
      </c>
      <c r="AL356" s="80">
        <v>24</v>
      </c>
      <c r="AM356" s="80" t="s">
        <v>5614</v>
      </c>
      <c r="AN356" s="102" t="str">
        <f>HYPERLINK("https://www.youtube.com/watch?v=sXYK6OHyrt4")</f>
        <v>https://www.youtube.com/watch?v=sXYK6OHyrt4</v>
      </c>
      <c r="AO356" s="2"/>
      <c r="AP356" s="3"/>
      <c r="AQ356" s="3"/>
      <c r="AR356" s="3"/>
      <c r="AS356" s="3"/>
    </row>
    <row r="357" spans="1:45" ht="15">
      <c r="A357" s="66" t="s">
        <v>546</v>
      </c>
      <c r="B357" s="67"/>
      <c r="C357" s="67"/>
      <c r="D357" s="68"/>
      <c r="E357" s="70"/>
      <c r="F357" s="100" t="str">
        <f>HYPERLINK("https://i.ytimg.com/vi/GUZUgIreqfU/default.jpg")</f>
        <v>https://i.ytimg.com/vi/GUZUgIreqfU/default.jpg</v>
      </c>
      <c r="G357" s="67"/>
      <c r="H357" s="71"/>
      <c r="I357" s="72"/>
      <c r="J357" s="72"/>
      <c r="K357" s="71" t="s">
        <v>1595</v>
      </c>
      <c r="L357" s="75"/>
      <c r="M357" s="76">
        <v>1823.2919921875</v>
      </c>
      <c r="N357" s="76">
        <v>4503.15625</v>
      </c>
      <c r="O357" s="77"/>
      <c r="P357" s="78"/>
      <c r="Q357" s="78"/>
      <c r="R357" s="82"/>
      <c r="S357" s="82"/>
      <c r="T357" s="82"/>
      <c r="U357" s="82"/>
      <c r="V357" s="52"/>
      <c r="W357" s="52"/>
      <c r="X357" s="52"/>
      <c r="Y357" s="52"/>
      <c r="Z357" s="51"/>
      <c r="AA357" s="73">
        <v>357</v>
      </c>
      <c r="AB357" s="73"/>
      <c r="AC357" s="74"/>
      <c r="AD357" s="80" t="s">
        <v>1595</v>
      </c>
      <c r="AE357" s="80" t="s">
        <v>2595</v>
      </c>
      <c r="AF357" s="80" t="s">
        <v>3404</v>
      </c>
      <c r="AG357" s="80" t="s">
        <v>4106</v>
      </c>
      <c r="AH357" s="80" t="s">
        <v>4910</v>
      </c>
      <c r="AI357" s="80">
        <v>85863</v>
      </c>
      <c r="AJ357" s="80">
        <v>28</v>
      </c>
      <c r="AK357" s="80">
        <v>1035</v>
      </c>
      <c r="AL357" s="80">
        <v>46</v>
      </c>
      <c r="AM357" s="80" t="s">
        <v>5614</v>
      </c>
      <c r="AN357" s="102" t="str">
        <f>HYPERLINK("https://www.youtube.com/watch?v=GUZUgIreqfU")</f>
        <v>https://www.youtube.com/watch?v=GUZUgIreqfU</v>
      </c>
      <c r="AO357" s="2"/>
      <c r="AP357" s="3"/>
      <c r="AQ357" s="3"/>
      <c r="AR357" s="3"/>
      <c r="AS357" s="3"/>
    </row>
    <row r="358" spans="1:45" ht="15">
      <c r="A358" s="66" t="s">
        <v>547</v>
      </c>
      <c r="B358" s="67"/>
      <c r="C358" s="67"/>
      <c r="D358" s="68"/>
      <c r="E358" s="70"/>
      <c r="F358" s="100" t="str">
        <f>HYPERLINK("https://i.ytimg.com/vi/HAaKJ0Isbyc/default.jpg")</f>
        <v>https://i.ytimg.com/vi/HAaKJ0Isbyc/default.jpg</v>
      </c>
      <c r="G358" s="67"/>
      <c r="H358" s="71"/>
      <c r="I358" s="72"/>
      <c r="J358" s="72"/>
      <c r="K358" s="71" t="s">
        <v>1596</v>
      </c>
      <c r="L358" s="75"/>
      <c r="M358" s="76">
        <v>2206.023681640625</v>
      </c>
      <c r="N358" s="76">
        <v>5351.7900390625</v>
      </c>
      <c r="O358" s="77"/>
      <c r="P358" s="78"/>
      <c r="Q358" s="78"/>
      <c r="R358" s="82"/>
      <c r="S358" s="82"/>
      <c r="T358" s="82"/>
      <c r="U358" s="82"/>
      <c r="V358" s="52"/>
      <c r="W358" s="52"/>
      <c r="X358" s="52"/>
      <c r="Y358" s="52"/>
      <c r="Z358" s="51"/>
      <c r="AA358" s="73">
        <v>358</v>
      </c>
      <c r="AB358" s="73"/>
      <c r="AC358" s="74"/>
      <c r="AD358" s="80" t="s">
        <v>1596</v>
      </c>
      <c r="AE358" s="80" t="s">
        <v>2596</v>
      </c>
      <c r="AF358" s="80" t="s">
        <v>3405</v>
      </c>
      <c r="AG358" s="80" t="s">
        <v>4107</v>
      </c>
      <c r="AH358" s="80" t="s">
        <v>4911</v>
      </c>
      <c r="AI358" s="80">
        <v>151045</v>
      </c>
      <c r="AJ358" s="80">
        <v>35</v>
      </c>
      <c r="AK358" s="80">
        <v>2755</v>
      </c>
      <c r="AL358" s="80">
        <v>77</v>
      </c>
      <c r="AM358" s="80" t="s">
        <v>5614</v>
      </c>
      <c r="AN358" s="102" t="str">
        <f>HYPERLINK("https://www.youtube.com/watch?v=HAaKJ0Isbyc")</f>
        <v>https://www.youtube.com/watch?v=HAaKJ0Isbyc</v>
      </c>
      <c r="AO358" s="2"/>
      <c r="AP358" s="3"/>
      <c r="AQ358" s="3"/>
      <c r="AR358" s="3"/>
      <c r="AS358" s="3"/>
    </row>
    <row r="359" spans="1:45" ht="15">
      <c r="A359" s="66" t="s">
        <v>548</v>
      </c>
      <c r="B359" s="67"/>
      <c r="C359" s="67"/>
      <c r="D359" s="68"/>
      <c r="E359" s="70"/>
      <c r="F359" s="100" t="str">
        <f>HYPERLINK("https://i.ytimg.com/vi/KNDGBeoHN8I/default.jpg")</f>
        <v>https://i.ytimg.com/vi/KNDGBeoHN8I/default.jpg</v>
      </c>
      <c r="G359" s="67"/>
      <c r="H359" s="71"/>
      <c r="I359" s="72"/>
      <c r="J359" s="72"/>
      <c r="K359" s="71" t="s">
        <v>1597</v>
      </c>
      <c r="L359" s="75"/>
      <c r="M359" s="76">
        <v>2028.53662109375</v>
      </c>
      <c r="N359" s="76">
        <v>5133.54150390625</v>
      </c>
      <c r="O359" s="77"/>
      <c r="P359" s="78"/>
      <c r="Q359" s="78"/>
      <c r="R359" s="82"/>
      <c r="S359" s="82"/>
      <c r="T359" s="82"/>
      <c r="U359" s="82"/>
      <c r="V359" s="52"/>
      <c r="W359" s="52"/>
      <c r="X359" s="52"/>
      <c r="Y359" s="52"/>
      <c r="Z359" s="51"/>
      <c r="AA359" s="73">
        <v>359</v>
      </c>
      <c r="AB359" s="73"/>
      <c r="AC359" s="74"/>
      <c r="AD359" s="80" t="s">
        <v>1597</v>
      </c>
      <c r="AE359" s="80" t="s">
        <v>2597</v>
      </c>
      <c r="AF359" s="80" t="s">
        <v>3406</v>
      </c>
      <c r="AG359" s="80" t="s">
        <v>4108</v>
      </c>
      <c r="AH359" s="80" t="s">
        <v>4912</v>
      </c>
      <c r="AI359" s="80">
        <v>49236</v>
      </c>
      <c r="AJ359" s="80">
        <v>3</v>
      </c>
      <c r="AK359" s="80">
        <v>93</v>
      </c>
      <c r="AL359" s="80">
        <v>20</v>
      </c>
      <c r="AM359" s="80" t="s">
        <v>5614</v>
      </c>
      <c r="AN359" s="102" t="str">
        <f>HYPERLINK("https://www.youtube.com/watch?v=KNDGBeoHN8I")</f>
        <v>https://www.youtube.com/watch?v=KNDGBeoHN8I</v>
      </c>
      <c r="AO359" s="2"/>
      <c r="AP359" s="3"/>
      <c r="AQ359" s="3"/>
      <c r="AR359" s="3"/>
      <c r="AS359" s="3"/>
    </row>
    <row r="360" spans="1:45" ht="15">
      <c r="A360" s="66" t="s">
        <v>549</v>
      </c>
      <c r="B360" s="67"/>
      <c r="C360" s="67"/>
      <c r="D360" s="68"/>
      <c r="E360" s="70"/>
      <c r="F360" s="100" t="str">
        <f>HYPERLINK("https://i.ytimg.com/vi/TbcuehvXVks/default.jpg")</f>
        <v>https://i.ytimg.com/vi/TbcuehvXVks/default.jpg</v>
      </c>
      <c r="G360" s="67"/>
      <c r="H360" s="71"/>
      <c r="I360" s="72"/>
      <c r="J360" s="72"/>
      <c r="K360" s="71" t="s">
        <v>1598</v>
      </c>
      <c r="L360" s="75"/>
      <c r="M360" s="76">
        <v>2353.556640625</v>
      </c>
      <c r="N360" s="76">
        <v>5644.3251953125</v>
      </c>
      <c r="O360" s="77"/>
      <c r="P360" s="78"/>
      <c r="Q360" s="78"/>
      <c r="R360" s="82"/>
      <c r="S360" s="82"/>
      <c r="T360" s="82"/>
      <c r="U360" s="82"/>
      <c r="V360" s="52"/>
      <c r="W360" s="52"/>
      <c r="X360" s="52"/>
      <c r="Y360" s="52"/>
      <c r="Z360" s="51"/>
      <c r="AA360" s="73">
        <v>360</v>
      </c>
      <c r="AB360" s="73"/>
      <c r="AC360" s="74"/>
      <c r="AD360" s="80" t="s">
        <v>1598</v>
      </c>
      <c r="AE360" s="80" t="s">
        <v>2598</v>
      </c>
      <c r="AF360" s="80" t="s">
        <v>3407</v>
      </c>
      <c r="AG360" s="80" t="s">
        <v>4109</v>
      </c>
      <c r="AH360" s="80" t="s">
        <v>4913</v>
      </c>
      <c r="AI360" s="80">
        <v>63249</v>
      </c>
      <c r="AJ360" s="80">
        <v>37</v>
      </c>
      <c r="AK360" s="80">
        <v>562</v>
      </c>
      <c r="AL360" s="80">
        <v>17</v>
      </c>
      <c r="AM360" s="80" t="s">
        <v>5614</v>
      </c>
      <c r="AN360" s="102" t="str">
        <f>HYPERLINK("https://www.youtube.com/watch?v=TbcuehvXVks")</f>
        <v>https://www.youtube.com/watch?v=TbcuehvXVks</v>
      </c>
      <c r="AO360" s="2"/>
      <c r="AP360" s="3"/>
      <c r="AQ360" s="3"/>
      <c r="AR360" s="3"/>
      <c r="AS360" s="3"/>
    </row>
    <row r="361" spans="1:45" ht="15">
      <c r="A361" s="66" t="s">
        <v>550</v>
      </c>
      <c r="B361" s="67"/>
      <c r="C361" s="67"/>
      <c r="D361" s="68"/>
      <c r="E361" s="70"/>
      <c r="F361" s="100" t="str">
        <f>HYPERLINK("https://i.ytimg.com/vi/wz4kgxnq7Sc/default.jpg")</f>
        <v>https://i.ytimg.com/vi/wz4kgxnq7Sc/default.jpg</v>
      </c>
      <c r="G361" s="67"/>
      <c r="H361" s="71"/>
      <c r="I361" s="72"/>
      <c r="J361" s="72"/>
      <c r="K361" s="71" t="s">
        <v>1599</v>
      </c>
      <c r="L361" s="75"/>
      <c r="M361" s="76">
        <v>2349.428466796875</v>
      </c>
      <c r="N361" s="76">
        <v>5522.64208984375</v>
      </c>
      <c r="O361" s="77"/>
      <c r="P361" s="78"/>
      <c r="Q361" s="78"/>
      <c r="R361" s="82"/>
      <c r="S361" s="82"/>
      <c r="T361" s="82"/>
      <c r="U361" s="82"/>
      <c r="V361" s="52"/>
      <c r="W361" s="52"/>
      <c r="X361" s="52"/>
      <c r="Y361" s="52"/>
      <c r="Z361" s="51"/>
      <c r="AA361" s="73">
        <v>361</v>
      </c>
      <c r="AB361" s="73"/>
      <c r="AC361" s="74"/>
      <c r="AD361" s="80" t="s">
        <v>1599</v>
      </c>
      <c r="AE361" s="80" t="s">
        <v>2599</v>
      </c>
      <c r="AF361" s="80" t="s">
        <v>3408</v>
      </c>
      <c r="AG361" s="80" t="s">
        <v>4110</v>
      </c>
      <c r="AH361" s="80" t="s">
        <v>4914</v>
      </c>
      <c r="AI361" s="80">
        <v>330919</v>
      </c>
      <c r="AJ361" s="80">
        <v>0</v>
      </c>
      <c r="AK361" s="80">
        <v>5383</v>
      </c>
      <c r="AL361" s="80">
        <v>185</v>
      </c>
      <c r="AM361" s="80" t="s">
        <v>5614</v>
      </c>
      <c r="AN361" s="102" t="str">
        <f>HYPERLINK("https://www.youtube.com/watch?v=wz4kgxnq7Sc")</f>
        <v>https://www.youtube.com/watch?v=wz4kgxnq7Sc</v>
      </c>
      <c r="AO361" s="2"/>
      <c r="AP361" s="3"/>
      <c r="AQ361" s="3"/>
      <c r="AR361" s="3"/>
      <c r="AS361" s="3"/>
    </row>
    <row r="362" spans="1:45" ht="15">
      <c r="A362" s="66" t="s">
        <v>551</v>
      </c>
      <c r="B362" s="67"/>
      <c r="C362" s="67"/>
      <c r="D362" s="68"/>
      <c r="E362" s="70"/>
      <c r="F362" s="100" t="str">
        <f>HYPERLINK("https://i.ytimg.com/vi/c0FutHL0FIk/default.jpg")</f>
        <v>https://i.ytimg.com/vi/c0FutHL0FIk/default.jpg</v>
      </c>
      <c r="G362" s="67"/>
      <c r="H362" s="71"/>
      <c r="I362" s="72"/>
      <c r="J362" s="72"/>
      <c r="K362" s="71" t="s">
        <v>1600</v>
      </c>
      <c r="L362" s="75"/>
      <c r="M362" s="76">
        <v>2276.529296875</v>
      </c>
      <c r="N362" s="76">
        <v>5456.16552734375</v>
      </c>
      <c r="O362" s="77"/>
      <c r="P362" s="78"/>
      <c r="Q362" s="78"/>
      <c r="R362" s="82"/>
      <c r="S362" s="82"/>
      <c r="T362" s="82"/>
      <c r="U362" s="82"/>
      <c r="V362" s="52"/>
      <c r="W362" s="52"/>
      <c r="X362" s="52"/>
      <c r="Y362" s="52"/>
      <c r="Z362" s="51"/>
      <c r="AA362" s="73">
        <v>362</v>
      </c>
      <c r="AB362" s="73"/>
      <c r="AC362" s="74"/>
      <c r="AD362" s="80" t="s">
        <v>1600</v>
      </c>
      <c r="AE362" s="80" t="s">
        <v>2600</v>
      </c>
      <c r="AF362" s="80"/>
      <c r="AG362" s="80" t="s">
        <v>4111</v>
      </c>
      <c r="AH362" s="80" t="s">
        <v>4915</v>
      </c>
      <c r="AI362" s="80">
        <v>472</v>
      </c>
      <c r="AJ362" s="80">
        <v>2</v>
      </c>
      <c r="AK362" s="80">
        <v>14</v>
      </c>
      <c r="AL362" s="80">
        <v>0</v>
      </c>
      <c r="AM362" s="80" t="s">
        <v>5614</v>
      </c>
      <c r="AN362" s="102" t="str">
        <f>HYPERLINK("https://www.youtube.com/watch?v=c0FutHL0FIk")</f>
        <v>https://www.youtube.com/watch?v=c0FutHL0FIk</v>
      </c>
      <c r="AO362" s="2"/>
      <c r="AP362" s="3"/>
      <c r="AQ362" s="3"/>
      <c r="AR362" s="3"/>
      <c r="AS362" s="3"/>
    </row>
    <row r="363" spans="1:45" ht="15">
      <c r="A363" s="66" t="s">
        <v>552</v>
      </c>
      <c r="B363" s="67"/>
      <c r="C363" s="67"/>
      <c r="D363" s="68"/>
      <c r="E363" s="70"/>
      <c r="F363" s="100" t="str">
        <f>HYPERLINK("https://i.ytimg.com/vi/SKYWwLsuWQ8/default.jpg")</f>
        <v>https://i.ytimg.com/vi/SKYWwLsuWQ8/default.jpg</v>
      </c>
      <c r="G363" s="67"/>
      <c r="H363" s="71"/>
      <c r="I363" s="72"/>
      <c r="J363" s="72"/>
      <c r="K363" s="71" t="s">
        <v>1601</v>
      </c>
      <c r="L363" s="75"/>
      <c r="M363" s="76">
        <v>1988.7020263671875</v>
      </c>
      <c r="N363" s="76">
        <v>4973.1376953125</v>
      </c>
      <c r="O363" s="77"/>
      <c r="P363" s="78"/>
      <c r="Q363" s="78"/>
      <c r="R363" s="82"/>
      <c r="S363" s="82"/>
      <c r="T363" s="82"/>
      <c r="U363" s="82"/>
      <c r="V363" s="52"/>
      <c r="W363" s="52"/>
      <c r="X363" s="52"/>
      <c r="Y363" s="52"/>
      <c r="Z363" s="51"/>
      <c r="AA363" s="73">
        <v>363</v>
      </c>
      <c r="AB363" s="73"/>
      <c r="AC363" s="74"/>
      <c r="AD363" s="80" t="s">
        <v>1601</v>
      </c>
      <c r="AE363" s="80" t="s">
        <v>2601</v>
      </c>
      <c r="AF363" s="80" t="s">
        <v>3409</v>
      </c>
      <c r="AG363" s="80" t="s">
        <v>4066</v>
      </c>
      <c r="AH363" s="80" t="s">
        <v>4916</v>
      </c>
      <c r="AI363" s="80">
        <v>123534</v>
      </c>
      <c r="AJ363" s="80">
        <v>49</v>
      </c>
      <c r="AK363" s="80">
        <v>447</v>
      </c>
      <c r="AL363" s="80">
        <v>38</v>
      </c>
      <c r="AM363" s="80" t="s">
        <v>5614</v>
      </c>
      <c r="AN363" s="102" t="str">
        <f>HYPERLINK("https://www.youtube.com/watch?v=SKYWwLsuWQ8")</f>
        <v>https://www.youtube.com/watch?v=SKYWwLsuWQ8</v>
      </c>
      <c r="AO363" s="2"/>
      <c r="AP363" s="3"/>
      <c r="AQ363" s="3"/>
      <c r="AR363" s="3"/>
      <c r="AS363" s="3"/>
    </row>
    <row r="364" spans="1:45" ht="15">
      <c r="A364" s="66" t="s">
        <v>553</v>
      </c>
      <c r="B364" s="67"/>
      <c r="C364" s="67"/>
      <c r="D364" s="68"/>
      <c r="E364" s="70"/>
      <c r="F364" s="100" t="str">
        <f>HYPERLINK("https://i.ytimg.com/vi/lLEXWPPTu2k/default.jpg")</f>
        <v>https://i.ytimg.com/vi/lLEXWPPTu2k/default.jpg</v>
      </c>
      <c r="G364" s="67"/>
      <c r="H364" s="71"/>
      <c r="I364" s="72"/>
      <c r="J364" s="72"/>
      <c r="K364" s="71" t="s">
        <v>1602</v>
      </c>
      <c r="L364" s="75"/>
      <c r="M364" s="76">
        <v>1919.7088623046875</v>
      </c>
      <c r="N364" s="76">
        <v>4782.95703125</v>
      </c>
      <c r="O364" s="77"/>
      <c r="P364" s="78"/>
      <c r="Q364" s="78"/>
      <c r="R364" s="82"/>
      <c r="S364" s="82"/>
      <c r="T364" s="82"/>
      <c r="U364" s="82"/>
      <c r="V364" s="52"/>
      <c r="W364" s="52"/>
      <c r="X364" s="52"/>
      <c r="Y364" s="52"/>
      <c r="Z364" s="51"/>
      <c r="AA364" s="73">
        <v>364</v>
      </c>
      <c r="AB364" s="73"/>
      <c r="AC364" s="74"/>
      <c r="AD364" s="80" t="s">
        <v>1602</v>
      </c>
      <c r="AE364" s="80" t="s">
        <v>2602</v>
      </c>
      <c r="AF364" s="80"/>
      <c r="AG364" s="80" t="s">
        <v>3968</v>
      </c>
      <c r="AH364" s="80" t="s">
        <v>4917</v>
      </c>
      <c r="AI364" s="80">
        <v>4013</v>
      </c>
      <c r="AJ364" s="80">
        <v>0</v>
      </c>
      <c r="AK364" s="80">
        <v>40</v>
      </c>
      <c r="AL364" s="80">
        <v>1</v>
      </c>
      <c r="AM364" s="80" t="s">
        <v>5614</v>
      </c>
      <c r="AN364" s="102" t="str">
        <f>HYPERLINK("https://www.youtube.com/watch?v=lLEXWPPTu2k")</f>
        <v>https://www.youtube.com/watch?v=lLEXWPPTu2k</v>
      </c>
      <c r="AO364" s="2"/>
      <c r="AP364" s="3"/>
      <c r="AQ364" s="3"/>
      <c r="AR364" s="3"/>
      <c r="AS364" s="3"/>
    </row>
    <row r="365" spans="1:45" ht="15">
      <c r="A365" s="66" t="s">
        <v>554</v>
      </c>
      <c r="B365" s="67"/>
      <c r="C365" s="67"/>
      <c r="D365" s="68"/>
      <c r="E365" s="70"/>
      <c r="F365" s="100" t="str">
        <f>HYPERLINK("https://i.ytimg.com/vi/9j2_DZAxcxM/default.jpg")</f>
        <v>https://i.ytimg.com/vi/9j2_DZAxcxM/default.jpg</v>
      </c>
      <c r="G365" s="67"/>
      <c r="H365" s="71"/>
      <c r="I365" s="72"/>
      <c r="J365" s="72"/>
      <c r="K365" s="71" t="s">
        <v>1603</v>
      </c>
      <c r="L365" s="75"/>
      <c r="M365" s="76">
        <v>2359.99267578125</v>
      </c>
      <c r="N365" s="76">
        <v>5598.14208984375</v>
      </c>
      <c r="O365" s="77"/>
      <c r="P365" s="78"/>
      <c r="Q365" s="78"/>
      <c r="R365" s="82"/>
      <c r="S365" s="82"/>
      <c r="T365" s="82"/>
      <c r="U365" s="82"/>
      <c r="V365" s="52"/>
      <c r="W365" s="52"/>
      <c r="X365" s="52"/>
      <c r="Y365" s="52"/>
      <c r="Z365" s="51"/>
      <c r="AA365" s="73">
        <v>365</v>
      </c>
      <c r="AB365" s="73"/>
      <c r="AC365" s="74"/>
      <c r="AD365" s="80" t="s">
        <v>1603</v>
      </c>
      <c r="AE365" s="80" t="s">
        <v>2603</v>
      </c>
      <c r="AF365" s="80" t="s">
        <v>3410</v>
      </c>
      <c r="AG365" s="80" t="s">
        <v>4112</v>
      </c>
      <c r="AH365" s="80" t="s">
        <v>4918</v>
      </c>
      <c r="AI365" s="80">
        <v>35559</v>
      </c>
      <c r="AJ365" s="80">
        <v>0</v>
      </c>
      <c r="AK365" s="80">
        <v>105</v>
      </c>
      <c r="AL365" s="80">
        <v>9</v>
      </c>
      <c r="AM365" s="80" t="s">
        <v>5614</v>
      </c>
      <c r="AN365" s="102" t="str">
        <f>HYPERLINK("https://www.youtube.com/watch?v=9j2_DZAxcxM")</f>
        <v>https://www.youtube.com/watch?v=9j2_DZAxcxM</v>
      </c>
      <c r="AO365" s="2"/>
      <c r="AP365" s="3"/>
      <c r="AQ365" s="3"/>
      <c r="AR365" s="3"/>
      <c r="AS365" s="3"/>
    </row>
    <row r="366" spans="1:45" ht="15">
      <c r="A366" s="66" t="s">
        <v>555</v>
      </c>
      <c r="B366" s="67"/>
      <c r="C366" s="67"/>
      <c r="D366" s="68"/>
      <c r="E366" s="70"/>
      <c r="F366" s="100" t="str">
        <f>HYPERLINK("https://i.ytimg.com/vi/fb-IG5qlegk/default.jpg")</f>
        <v>https://i.ytimg.com/vi/fb-IG5qlegk/default.jpg</v>
      </c>
      <c r="G366" s="67"/>
      <c r="H366" s="71"/>
      <c r="I366" s="72"/>
      <c r="J366" s="72"/>
      <c r="K366" s="71" t="s">
        <v>1604</v>
      </c>
      <c r="L366" s="75"/>
      <c r="M366" s="76">
        <v>2166.682861328125</v>
      </c>
      <c r="N366" s="76">
        <v>5348.7939453125</v>
      </c>
      <c r="O366" s="77"/>
      <c r="P366" s="78"/>
      <c r="Q366" s="78"/>
      <c r="R366" s="82"/>
      <c r="S366" s="82"/>
      <c r="T366" s="82"/>
      <c r="U366" s="82"/>
      <c r="V366" s="52"/>
      <c r="W366" s="52"/>
      <c r="X366" s="52"/>
      <c r="Y366" s="52"/>
      <c r="Z366" s="51"/>
      <c r="AA366" s="73">
        <v>366</v>
      </c>
      <c r="AB366" s="73"/>
      <c r="AC366" s="74"/>
      <c r="AD366" s="80" t="s">
        <v>1604</v>
      </c>
      <c r="AE366" s="80"/>
      <c r="AF366" s="80"/>
      <c r="AG366" s="80" t="s">
        <v>4113</v>
      </c>
      <c r="AH366" s="80" t="s">
        <v>4919</v>
      </c>
      <c r="AI366" s="80">
        <v>37359</v>
      </c>
      <c r="AJ366" s="80">
        <v>5</v>
      </c>
      <c r="AK366" s="80">
        <v>403</v>
      </c>
      <c r="AL366" s="80">
        <v>21</v>
      </c>
      <c r="AM366" s="80" t="s">
        <v>5614</v>
      </c>
      <c r="AN366" s="102" t="str">
        <f>HYPERLINK("https://www.youtube.com/watch?v=fb-IG5qlegk")</f>
        <v>https://www.youtube.com/watch?v=fb-IG5qlegk</v>
      </c>
      <c r="AO366" s="2"/>
      <c r="AP366" s="3"/>
      <c r="AQ366" s="3"/>
      <c r="AR366" s="3"/>
      <c r="AS366" s="3"/>
    </row>
    <row r="367" spans="1:45" ht="15">
      <c r="A367" s="66" t="s">
        <v>556</v>
      </c>
      <c r="B367" s="67"/>
      <c r="C367" s="67"/>
      <c r="D367" s="68"/>
      <c r="E367" s="70"/>
      <c r="F367" s="100" t="str">
        <f>HYPERLINK("https://i.ytimg.com/vi/u-0M2Cb-jrw/default.jpg")</f>
        <v>https://i.ytimg.com/vi/u-0M2Cb-jrw/default.jpg</v>
      </c>
      <c r="G367" s="67"/>
      <c r="H367" s="71"/>
      <c r="I367" s="72"/>
      <c r="J367" s="72"/>
      <c r="K367" s="71" t="s">
        <v>1605</v>
      </c>
      <c r="L367" s="75"/>
      <c r="M367" s="76">
        <v>1861.165771484375</v>
      </c>
      <c r="N367" s="76">
        <v>4641.67236328125</v>
      </c>
      <c r="O367" s="77"/>
      <c r="P367" s="78"/>
      <c r="Q367" s="78"/>
      <c r="R367" s="82"/>
      <c r="S367" s="82"/>
      <c r="T367" s="82"/>
      <c r="U367" s="82"/>
      <c r="V367" s="52"/>
      <c r="W367" s="52"/>
      <c r="X367" s="52"/>
      <c r="Y367" s="52"/>
      <c r="Z367" s="51"/>
      <c r="AA367" s="73">
        <v>367</v>
      </c>
      <c r="AB367" s="73"/>
      <c r="AC367" s="74"/>
      <c r="AD367" s="80" t="s">
        <v>1605</v>
      </c>
      <c r="AE367" s="80" t="s">
        <v>2604</v>
      </c>
      <c r="AF367" s="80" t="s">
        <v>3411</v>
      </c>
      <c r="AG367" s="80" t="s">
        <v>4114</v>
      </c>
      <c r="AH367" s="80" t="s">
        <v>4920</v>
      </c>
      <c r="AI367" s="80">
        <v>8789222</v>
      </c>
      <c r="AJ367" s="80">
        <v>2678</v>
      </c>
      <c r="AK367" s="80">
        <v>145257</v>
      </c>
      <c r="AL367" s="80">
        <v>5267</v>
      </c>
      <c r="AM367" s="80" t="s">
        <v>5614</v>
      </c>
      <c r="AN367" s="102" t="str">
        <f>HYPERLINK("https://www.youtube.com/watch?v=u-0M2Cb-jrw")</f>
        <v>https://www.youtube.com/watch?v=u-0M2Cb-jrw</v>
      </c>
      <c r="AO367" s="2"/>
      <c r="AP367" s="3"/>
      <c r="AQ367" s="3"/>
      <c r="AR367" s="3"/>
      <c r="AS367" s="3"/>
    </row>
    <row r="368" spans="1:45" ht="15">
      <c r="A368" s="66" t="s">
        <v>557</v>
      </c>
      <c r="B368" s="67"/>
      <c r="C368" s="67"/>
      <c r="D368" s="68"/>
      <c r="E368" s="70"/>
      <c r="F368" s="100" t="str">
        <f>HYPERLINK("https://i.ytimg.com/vi/dIaW7bTzOBU/default.jpg")</f>
        <v>https://i.ytimg.com/vi/dIaW7bTzOBU/default.jpg</v>
      </c>
      <c r="G368" s="67"/>
      <c r="H368" s="71"/>
      <c r="I368" s="72"/>
      <c r="J368" s="72"/>
      <c r="K368" s="71" t="s">
        <v>1606</v>
      </c>
      <c r="L368" s="75"/>
      <c r="M368" s="76">
        <v>2146.080810546875</v>
      </c>
      <c r="N368" s="76">
        <v>5307.77294921875</v>
      </c>
      <c r="O368" s="77"/>
      <c r="P368" s="78"/>
      <c r="Q368" s="78"/>
      <c r="R368" s="82"/>
      <c r="S368" s="82"/>
      <c r="T368" s="82"/>
      <c r="U368" s="82"/>
      <c r="V368" s="52"/>
      <c r="W368" s="52"/>
      <c r="X368" s="52"/>
      <c r="Y368" s="52"/>
      <c r="Z368" s="51"/>
      <c r="AA368" s="73">
        <v>368</v>
      </c>
      <c r="AB368" s="73"/>
      <c r="AC368" s="74"/>
      <c r="AD368" s="80" t="s">
        <v>1606</v>
      </c>
      <c r="AE368" s="80" t="s">
        <v>2605</v>
      </c>
      <c r="AF368" s="80"/>
      <c r="AG368" s="80" t="s">
        <v>4115</v>
      </c>
      <c r="AH368" s="80" t="s">
        <v>4921</v>
      </c>
      <c r="AI368" s="80">
        <v>5222</v>
      </c>
      <c r="AJ368" s="80">
        <v>1</v>
      </c>
      <c r="AK368" s="80">
        <v>41</v>
      </c>
      <c r="AL368" s="80">
        <v>0</v>
      </c>
      <c r="AM368" s="80" t="s">
        <v>5614</v>
      </c>
      <c r="AN368" s="102" t="str">
        <f>HYPERLINK("https://www.youtube.com/watch?v=dIaW7bTzOBU")</f>
        <v>https://www.youtube.com/watch?v=dIaW7bTzOBU</v>
      </c>
      <c r="AO368" s="2"/>
      <c r="AP368" s="3"/>
      <c r="AQ368" s="3"/>
      <c r="AR368" s="3"/>
      <c r="AS368" s="3"/>
    </row>
    <row r="369" spans="1:45" ht="15">
      <c r="A369" s="66" t="s">
        <v>196</v>
      </c>
      <c r="B369" s="67"/>
      <c r="C369" s="67"/>
      <c r="D369" s="68"/>
      <c r="E369" s="70"/>
      <c r="F369" s="100" t="str">
        <f>HYPERLINK("https://i.ytimg.com/vi/GHNkqZ6I_Cc/default.jpg")</f>
        <v>https://i.ytimg.com/vi/GHNkqZ6I_Cc/default.jpg</v>
      </c>
      <c r="G369" s="67"/>
      <c r="H369" s="71"/>
      <c r="I369" s="72"/>
      <c r="J369" s="72"/>
      <c r="K369" s="71" t="s">
        <v>1607</v>
      </c>
      <c r="L369" s="75"/>
      <c r="M369" s="76">
        <v>5702.21923828125</v>
      </c>
      <c r="N369" s="76">
        <v>4315.81201171875</v>
      </c>
      <c r="O369" s="77"/>
      <c r="P369" s="78"/>
      <c r="Q369" s="78"/>
      <c r="R369" s="82"/>
      <c r="S369" s="82"/>
      <c r="T369" s="82"/>
      <c r="U369" s="82"/>
      <c r="V369" s="52"/>
      <c r="W369" s="52"/>
      <c r="X369" s="52"/>
      <c r="Y369" s="52"/>
      <c r="Z369" s="51"/>
      <c r="AA369" s="73">
        <v>369</v>
      </c>
      <c r="AB369" s="73"/>
      <c r="AC369" s="74"/>
      <c r="AD369" s="80" t="s">
        <v>1607</v>
      </c>
      <c r="AE369" s="80"/>
      <c r="AF369" s="80"/>
      <c r="AG369" s="80" t="s">
        <v>4116</v>
      </c>
      <c r="AH369" s="80" t="s">
        <v>4922</v>
      </c>
      <c r="AI369" s="80">
        <v>269</v>
      </c>
      <c r="AJ369" s="80">
        <v>141</v>
      </c>
      <c r="AK369" s="80">
        <v>62</v>
      </c>
      <c r="AL369" s="80">
        <v>0</v>
      </c>
      <c r="AM369" s="80" t="s">
        <v>5614</v>
      </c>
      <c r="AN369" s="102" t="str">
        <f>HYPERLINK("https://www.youtube.com/watch?v=GHNkqZ6I_Cc")</f>
        <v>https://www.youtube.com/watch?v=GHNkqZ6I_Cc</v>
      </c>
      <c r="AO369" s="2"/>
      <c r="AP369" s="3"/>
      <c r="AQ369" s="3"/>
      <c r="AR369" s="3"/>
      <c r="AS369" s="3"/>
    </row>
    <row r="370" spans="1:45" ht="15">
      <c r="A370" s="66" t="s">
        <v>558</v>
      </c>
      <c r="B370" s="67"/>
      <c r="C370" s="67"/>
      <c r="D370" s="68"/>
      <c r="E370" s="70"/>
      <c r="F370" s="100" t="str">
        <f>HYPERLINK("https://i.ytimg.com/vi/Ba-o-iLyU94/default.jpg")</f>
        <v>https://i.ytimg.com/vi/Ba-o-iLyU94/default.jpg</v>
      </c>
      <c r="G370" s="67"/>
      <c r="H370" s="71"/>
      <c r="I370" s="72"/>
      <c r="J370" s="72"/>
      <c r="K370" s="71" t="s">
        <v>1608</v>
      </c>
      <c r="L370" s="75"/>
      <c r="M370" s="76">
        <v>5685.07275390625</v>
      </c>
      <c r="N370" s="76">
        <v>3689.356201171875</v>
      </c>
      <c r="O370" s="77"/>
      <c r="P370" s="78"/>
      <c r="Q370" s="78"/>
      <c r="R370" s="82"/>
      <c r="S370" s="82"/>
      <c r="T370" s="82"/>
      <c r="U370" s="82"/>
      <c r="V370" s="52"/>
      <c r="W370" s="52"/>
      <c r="X370" s="52"/>
      <c r="Y370" s="52"/>
      <c r="Z370" s="51"/>
      <c r="AA370" s="73">
        <v>370</v>
      </c>
      <c r="AB370" s="73"/>
      <c r="AC370" s="74"/>
      <c r="AD370" s="80" t="s">
        <v>1608</v>
      </c>
      <c r="AE370" s="80"/>
      <c r="AF370" s="80" t="s">
        <v>3412</v>
      </c>
      <c r="AG370" s="80" t="s">
        <v>4117</v>
      </c>
      <c r="AH370" s="80" t="s">
        <v>4923</v>
      </c>
      <c r="AI370" s="80">
        <v>2026</v>
      </c>
      <c r="AJ370" s="80">
        <v>0</v>
      </c>
      <c r="AK370" s="80">
        <v>18</v>
      </c>
      <c r="AL370" s="80">
        <v>1</v>
      </c>
      <c r="AM370" s="80" t="s">
        <v>5614</v>
      </c>
      <c r="AN370" s="102" t="str">
        <f>HYPERLINK("https://www.youtube.com/watch?v=Ba-o-iLyU94")</f>
        <v>https://www.youtube.com/watch?v=Ba-o-iLyU94</v>
      </c>
      <c r="AO370" s="2"/>
      <c r="AP370" s="3"/>
      <c r="AQ370" s="3"/>
      <c r="AR370" s="3"/>
      <c r="AS370" s="3"/>
    </row>
    <row r="371" spans="1:45" ht="15">
      <c r="A371" s="66" t="s">
        <v>559</v>
      </c>
      <c r="B371" s="67"/>
      <c r="C371" s="67"/>
      <c r="D371" s="68"/>
      <c r="E371" s="70"/>
      <c r="F371" s="100" t="str">
        <f>HYPERLINK("https://i.ytimg.com/vi/O6wDaSIVLVM/default.jpg")</f>
        <v>https://i.ytimg.com/vi/O6wDaSIVLVM/default.jpg</v>
      </c>
      <c r="G371" s="67"/>
      <c r="H371" s="71"/>
      <c r="I371" s="72"/>
      <c r="J371" s="72"/>
      <c r="K371" s="71" t="s">
        <v>1609</v>
      </c>
      <c r="L371" s="75"/>
      <c r="M371" s="76">
        <v>3546.28466796875</v>
      </c>
      <c r="N371" s="76">
        <v>6541.826171875</v>
      </c>
      <c r="O371" s="77"/>
      <c r="P371" s="78"/>
      <c r="Q371" s="78"/>
      <c r="R371" s="82"/>
      <c r="S371" s="82"/>
      <c r="T371" s="82"/>
      <c r="U371" s="82"/>
      <c r="V371" s="52"/>
      <c r="W371" s="52"/>
      <c r="X371" s="52"/>
      <c r="Y371" s="52"/>
      <c r="Z371" s="51"/>
      <c r="AA371" s="73">
        <v>371</v>
      </c>
      <c r="AB371" s="73"/>
      <c r="AC371" s="74"/>
      <c r="AD371" s="80" t="s">
        <v>1609</v>
      </c>
      <c r="AE371" s="80" t="s">
        <v>2606</v>
      </c>
      <c r="AF371" s="80" t="s">
        <v>3413</v>
      </c>
      <c r="AG371" s="80" t="s">
        <v>4118</v>
      </c>
      <c r="AH371" s="80" t="s">
        <v>4924</v>
      </c>
      <c r="AI371" s="80">
        <v>13630</v>
      </c>
      <c r="AJ371" s="80">
        <v>0</v>
      </c>
      <c r="AK371" s="80">
        <v>128</v>
      </c>
      <c r="AL371" s="80">
        <v>5</v>
      </c>
      <c r="AM371" s="80" t="s">
        <v>5614</v>
      </c>
      <c r="AN371" s="102" t="str">
        <f>HYPERLINK("https://www.youtube.com/watch?v=O6wDaSIVLVM")</f>
        <v>https://www.youtube.com/watch?v=O6wDaSIVLVM</v>
      </c>
      <c r="AO371" s="2"/>
      <c r="AP371" s="3"/>
      <c r="AQ371" s="3"/>
      <c r="AR371" s="3"/>
      <c r="AS371" s="3"/>
    </row>
    <row r="372" spans="1:45" ht="15">
      <c r="A372" s="66" t="s">
        <v>560</v>
      </c>
      <c r="B372" s="67"/>
      <c r="C372" s="67"/>
      <c r="D372" s="68"/>
      <c r="E372" s="70"/>
      <c r="F372" s="100" t="str">
        <f>HYPERLINK("https://i.ytimg.com/vi/QGWV83bQusk/default.jpg")</f>
        <v>https://i.ytimg.com/vi/QGWV83bQusk/default.jpg</v>
      </c>
      <c r="G372" s="67"/>
      <c r="H372" s="71"/>
      <c r="I372" s="72"/>
      <c r="J372" s="72"/>
      <c r="K372" s="71" t="s">
        <v>1610</v>
      </c>
      <c r="L372" s="75"/>
      <c r="M372" s="76">
        <v>4353.92333984375</v>
      </c>
      <c r="N372" s="76">
        <v>6879.48486328125</v>
      </c>
      <c r="O372" s="77"/>
      <c r="P372" s="78"/>
      <c r="Q372" s="78"/>
      <c r="R372" s="82"/>
      <c r="S372" s="82"/>
      <c r="T372" s="82"/>
      <c r="U372" s="82"/>
      <c r="V372" s="52"/>
      <c r="W372" s="52"/>
      <c r="X372" s="52"/>
      <c r="Y372" s="52"/>
      <c r="Z372" s="51"/>
      <c r="AA372" s="73">
        <v>372</v>
      </c>
      <c r="AB372" s="73"/>
      <c r="AC372" s="74"/>
      <c r="AD372" s="80" t="s">
        <v>1610</v>
      </c>
      <c r="AE372" s="80" t="s">
        <v>2607</v>
      </c>
      <c r="AF372" s="80"/>
      <c r="AG372" s="80" t="s">
        <v>1373</v>
      </c>
      <c r="AH372" s="80" t="s">
        <v>4925</v>
      </c>
      <c r="AI372" s="80">
        <v>539</v>
      </c>
      <c r="AJ372" s="80">
        <v>0</v>
      </c>
      <c r="AK372" s="80">
        <v>52</v>
      </c>
      <c r="AL372" s="80">
        <v>0</v>
      </c>
      <c r="AM372" s="80" t="s">
        <v>5614</v>
      </c>
      <c r="AN372" s="102" t="str">
        <f>HYPERLINK("https://www.youtube.com/watch?v=QGWV83bQusk")</f>
        <v>https://www.youtube.com/watch?v=QGWV83bQusk</v>
      </c>
      <c r="AO372" s="2"/>
      <c r="AP372" s="3"/>
      <c r="AQ372" s="3"/>
      <c r="AR372" s="3"/>
      <c r="AS372" s="3"/>
    </row>
    <row r="373" spans="1:45" ht="15">
      <c r="A373" s="66" t="s">
        <v>561</v>
      </c>
      <c r="B373" s="67"/>
      <c r="C373" s="67"/>
      <c r="D373" s="68"/>
      <c r="E373" s="70"/>
      <c r="F373" s="100" t="str">
        <f>HYPERLINK("https://i.ytimg.com/vi/8HXHu6ZD_VA/default.jpg")</f>
        <v>https://i.ytimg.com/vi/8HXHu6ZD_VA/default.jpg</v>
      </c>
      <c r="G373" s="67"/>
      <c r="H373" s="71"/>
      <c r="I373" s="72"/>
      <c r="J373" s="72"/>
      <c r="K373" s="71" t="s">
        <v>1611</v>
      </c>
      <c r="L373" s="75"/>
      <c r="M373" s="76">
        <v>8538.341796875</v>
      </c>
      <c r="N373" s="76">
        <v>2098.977294921875</v>
      </c>
      <c r="O373" s="77"/>
      <c r="P373" s="78"/>
      <c r="Q373" s="78"/>
      <c r="R373" s="82"/>
      <c r="S373" s="82"/>
      <c r="T373" s="82"/>
      <c r="U373" s="82"/>
      <c r="V373" s="52"/>
      <c r="W373" s="52"/>
      <c r="X373" s="52"/>
      <c r="Y373" s="52"/>
      <c r="Z373" s="51"/>
      <c r="AA373" s="73">
        <v>373</v>
      </c>
      <c r="AB373" s="73"/>
      <c r="AC373" s="74"/>
      <c r="AD373" s="80" t="s">
        <v>1611</v>
      </c>
      <c r="AE373" s="80"/>
      <c r="AF373" s="80"/>
      <c r="AG373" s="80" t="s">
        <v>4119</v>
      </c>
      <c r="AH373" s="80" t="s">
        <v>4926</v>
      </c>
      <c r="AI373" s="80">
        <v>429049</v>
      </c>
      <c r="AJ373" s="80">
        <v>336</v>
      </c>
      <c r="AK373" s="80">
        <v>5555</v>
      </c>
      <c r="AL373" s="80">
        <v>365</v>
      </c>
      <c r="AM373" s="80" t="s">
        <v>5614</v>
      </c>
      <c r="AN373" s="102" t="str">
        <f>HYPERLINK("https://www.youtube.com/watch?v=8HXHu6ZD_VA")</f>
        <v>https://www.youtube.com/watch?v=8HXHu6ZD_VA</v>
      </c>
      <c r="AO373" s="2"/>
      <c r="AP373" s="3"/>
      <c r="AQ373" s="3"/>
      <c r="AR373" s="3"/>
      <c r="AS373" s="3"/>
    </row>
    <row r="374" spans="1:45" ht="15">
      <c r="A374" s="66" t="s">
        <v>562</v>
      </c>
      <c r="B374" s="67"/>
      <c r="C374" s="67"/>
      <c r="D374" s="68"/>
      <c r="E374" s="70"/>
      <c r="F374" s="100" t="str">
        <f>HYPERLINK("https://i.ytimg.com/vi/dz1yhZQzRLg/default.jpg")</f>
        <v>https://i.ytimg.com/vi/dz1yhZQzRLg/default.jpg</v>
      </c>
      <c r="G374" s="67"/>
      <c r="H374" s="71"/>
      <c r="I374" s="72"/>
      <c r="J374" s="72"/>
      <c r="K374" s="71" t="s">
        <v>1612</v>
      </c>
      <c r="L374" s="75"/>
      <c r="M374" s="76">
        <v>3958.1865234375</v>
      </c>
      <c r="N374" s="76">
        <v>2470.61376953125</v>
      </c>
      <c r="O374" s="77"/>
      <c r="P374" s="78"/>
      <c r="Q374" s="78"/>
      <c r="R374" s="82"/>
      <c r="S374" s="82"/>
      <c r="T374" s="82"/>
      <c r="U374" s="82"/>
      <c r="V374" s="52"/>
      <c r="W374" s="52"/>
      <c r="X374" s="52"/>
      <c r="Y374" s="52"/>
      <c r="Z374" s="51"/>
      <c r="AA374" s="73">
        <v>374</v>
      </c>
      <c r="AB374" s="73"/>
      <c r="AC374" s="74"/>
      <c r="AD374" s="80" t="s">
        <v>1612</v>
      </c>
      <c r="AE374" s="80" t="s">
        <v>2608</v>
      </c>
      <c r="AF374" s="80" t="s">
        <v>3414</v>
      </c>
      <c r="AG374" s="80" t="s">
        <v>4120</v>
      </c>
      <c r="AH374" s="80" t="s">
        <v>4927</v>
      </c>
      <c r="AI374" s="80">
        <v>1764</v>
      </c>
      <c r="AJ374" s="80">
        <v>0</v>
      </c>
      <c r="AK374" s="80">
        <v>44</v>
      </c>
      <c r="AL374" s="80">
        <v>0</v>
      </c>
      <c r="AM374" s="80" t="s">
        <v>5614</v>
      </c>
      <c r="AN374" s="102" t="str">
        <f>HYPERLINK("https://www.youtube.com/watch?v=dz1yhZQzRLg")</f>
        <v>https://www.youtube.com/watch?v=dz1yhZQzRLg</v>
      </c>
      <c r="AO374" s="2"/>
      <c r="AP374" s="3"/>
      <c r="AQ374" s="3"/>
      <c r="AR374" s="3"/>
      <c r="AS374" s="3"/>
    </row>
    <row r="375" spans="1:45" ht="15">
      <c r="A375" s="66" t="s">
        <v>563</v>
      </c>
      <c r="B375" s="67"/>
      <c r="C375" s="67"/>
      <c r="D375" s="68"/>
      <c r="E375" s="70"/>
      <c r="F375" s="100" t="str">
        <f>HYPERLINK("https://i.ytimg.com/vi/76p4i7RTDIg/default.jpg")</f>
        <v>https://i.ytimg.com/vi/76p4i7RTDIg/default.jpg</v>
      </c>
      <c r="G375" s="67"/>
      <c r="H375" s="71"/>
      <c r="I375" s="72"/>
      <c r="J375" s="72"/>
      <c r="K375" s="71" t="s">
        <v>1613</v>
      </c>
      <c r="L375" s="75"/>
      <c r="M375" s="76">
        <v>5451.517578125</v>
      </c>
      <c r="N375" s="76">
        <v>6785.2275390625</v>
      </c>
      <c r="O375" s="77"/>
      <c r="P375" s="78"/>
      <c r="Q375" s="78"/>
      <c r="R375" s="82"/>
      <c r="S375" s="82"/>
      <c r="T375" s="82"/>
      <c r="U375" s="82"/>
      <c r="V375" s="52"/>
      <c r="W375" s="52"/>
      <c r="X375" s="52"/>
      <c r="Y375" s="52"/>
      <c r="Z375" s="51"/>
      <c r="AA375" s="73">
        <v>375</v>
      </c>
      <c r="AB375" s="73"/>
      <c r="AC375" s="74"/>
      <c r="AD375" s="80" t="s">
        <v>1613</v>
      </c>
      <c r="AE375" s="80" t="s">
        <v>2609</v>
      </c>
      <c r="AF375" s="80" t="s">
        <v>3415</v>
      </c>
      <c r="AG375" s="80" t="s">
        <v>4121</v>
      </c>
      <c r="AH375" s="80" t="s">
        <v>4928</v>
      </c>
      <c r="AI375" s="80">
        <v>330655</v>
      </c>
      <c r="AJ375" s="80">
        <v>78</v>
      </c>
      <c r="AK375" s="80">
        <v>799</v>
      </c>
      <c r="AL375" s="80">
        <v>167</v>
      </c>
      <c r="AM375" s="80" t="s">
        <v>5614</v>
      </c>
      <c r="AN375" s="102" t="str">
        <f>HYPERLINK("https://www.youtube.com/watch?v=76p4i7RTDIg")</f>
        <v>https://www.youtube.com/watch?v=76p4i7RTDIg</v>
      </c>
      <c r="AO375" s="2"/>
      <c r="AP375" s="3"/>
      <c r="AQ375" s="3"/>
      <c r="AR375" s="3"/>
      <c r="AS375" s="3"/>
    </row>
    <row r="376" spans="1:45" ht="15">
      <c r="A376" s="66" t="s">
        <v>564</v>
      </c>
      <c r="B376" s="67"/>
      <c r="C376" s="67"/>
      <c r="D376" s="68"/>
      <c r="E376" s="70"/>
      <c r="F376" s="100" t="str">
        <f>HYPERLINK("https://i.ytimg.com/vi/vUtR6DVlvrU/default.jpg")</f>
        <v>https://i.ytimg.com/vi/vUtR6DVlvrU/default.jpg</v>
      </c>
      <c r="G376" s="67"/>
      <c r="H376" s="71"/>
      <c r="I376" s="72"/>
      <c r="J376" s="72"/>
      <c r="K376" s="71" t="s">
        <v>1614</v>
      </c>
      <c r="L376" s="75"/>
      <c r="M376" s="76">
        <v>3824.847900390625</v>
      </c>
      <c r="N376" s="76">
        <v>6044.70361328125</v>
      </c>
      <c r="O376" s="77"/>
      <c r="P376" s="78"/>
      <c r="Q376" s="78"/>
      <c r="R376" s="82"/>
      <c r="S376" s="82"/>
      <c r="T376" s="82"/>
      <c r="U376" s="82"/>
      <c r="V376" s="52"/>
      <c r="W376" s="52"/>
      <c r="X376" s="52"/>
      <c r="Y376" s="52"/>
      <c r="Z376" s="51"/>
      <c r="AA376" s="73">
        <v>376</v>
      </c>
      <c r="AB376" s="73"/>
      <c r="AC376" s="74"/>
      <c r="AD376" s="80" t="s">
        <v>1614</v>
      </c>
      <c r="AE376" s="80" t="s">
        <v>2610</v>
      </c>
      <c r="AF376" s="80"/>
      <c r="AG376" s="80" t="s">
        <v>4094</v>
      </c>
      <c r="AH376" s="80" t="s">
        <v>4929</v>
      </c>
      <c r="AI376" s="80">
        <v>738</v>
      </c>
      <c r="AJ376" s="80">
        <v>4</v>
      </c>
      <c r="AK376" s="80">
        <v>32</v>
      </c>
      <c r="AL376" s="80">
        <v>1</v>
      </c>
      <c r="AM376" s="80" t="s">
        <v>5614</v>
      </c>
      <c r="AN376" s="102" t="str">
        <f>HYPERLINK("https://www.youtube.com/watch?v=vUtR6DVlvrU")</f>
        <v>https://www.youtube.com/watch?v=vUtR6DVlvrU</v>
      </c>
      <c r="AO376" s="2"/>
      <c r="AP376" s="3"/>
      <c r="AQ376" s="3"/>
      <c r="AR376" s="3"/>
      <c r="AS376" s="3"/>
    </row>
    <row r="377" spans="1:45" ht="15">
      <c r="A377" s="66" t="s">
        <v>565</v>
      </c>
      <c r="B377" s="67"/>
      <c r="C377" s="67"/>
      <c r="D377" s="68"/>
      <c r="E377" s="70"/>
      <c r="F377" s="100" t="str">
        <f>HYPERLINK("https://i.ytimg.com/vi/lKAlc2seNYg/default.jpg")</f>
        <v>https://i.ytimg.com/vi/lKAlc2seNYg/default.jpg</v>
      </c>
      <c r="G377" s="67"/>
      <c r="H377" s="71"/>
      <c r="I377" s="72"/>
      <c r="J377" s="72"/>
      <c r="K377" s="71" t="s">
        <v>1300</v>
      </c>
      <c r="L377" s="75"/>
      <c r="M377" s="76">
        <v>3617.517578125</v>
      </c>
      <c r="N377" s="76">
        <v>5059.08056640625</v>
      </c>
      <c r="O377" s="77"/>
      <c r="P377" s="78"/>
      <c r="Q377" s="78"/>
      <c r="R377" s="82"/>
      <c r="S377" s="82"/>
      <c r="T377" s="82"/>
      <c r="U377" s="82"/>
      <c r="V377" s="52"/>
      <c r="W377" s="52"/>
      <c r="X377" s="52"/>
      <c r="Y377" s="52"/>
      <c r="Z377" s="51"/>
      <c r="AA377" s="73">
        <v>377</v>
      </c>
      <c r="AB377" s="73"/>
      <c r="AC377" s="74"/>
      <c r="AD377" s="80" t="s">
        <v>1300</v>
      </c>
      <c r="AE377" s="80" t="s">
        <v>2611</v>
      </c>
      <c r="AF377" s="80" t="s">
        <v>3416</v>
      </c>
      <c r="AG377" s="80" t="s">
        <v>4122</v>
      </c>
      <c r="AH377" s="80" t="s">
        <v>4930</v>
      </c>
      <c r="AI377" s="80">
        <v>3248</v>
      </c>
      <c r="AJ377" s="80">
        <v>0</v>
      </c>
      <c r="AK377" s="80">
        <v>3</v>
      </c>
      <c r="AL377" s="80">
        <v>1</v>
      </c>
      <c r="AM377" s="80" t="s">
        <v>5614</v>
      </c>
      <c r="AN377" s="102" t="str">
        <f>HYPERLINK("https://www.youtube.com/watch?v=lKAlc2seNYg")</f>
        <v>https://www.youtube.com/watch?v=lKAlc2seNYg</v>
      </c>
      <c r="AO377" s="2"/>
      <c r="AP377" s="3"/>
      <c r="AQ377" s="3"/>
      <c r="AR377" s="3"/>
      <c r="AS377" s="3"/>
    </row>
    <row r="378" spans="1:45" ht="15">
      <c r="A378" s="66" t="s">
        <v>566</v>
      </c>
      <c r="B378" s="67"/>
      <c r="C378" s="67"/>
      <c r="D378" s="68"/>
      <c r="E378" s="70"/>
      <c r="F378" s="100" t="str">
        <f>HYPERLINK("https://i.ytimg.com/vi/JWsdZYMdi6I/default.jpg")</f>
        <v>https://i.ytimg.com/vi/JWsdZYMdi6I/default.jpg</v>
      </c>
      <c r="G378" s="67"/>
      <c r="H378" s="71"/>
      <c r="I378" s="72"/>
      <c r="J378" s="72"/>
      <c r="K378" s="71" t="s">
        <v>1615</v>
      </c>
      <c r="L378" s="75"/>
      <c r="M378" s="76">
        <v>4655.02490234375</v>
      </c>
      <c r="N378" s="76">
        <v>3302.793701171875</v>
      </c>
      <c r="O378" s="77"/>
      <c r="P378" s="78"/>
      <c r="Q378" s="78"/>
      <c r="R378" s="82"/>
      <c r="S378" s="82"/>
      <c r="T378" s="82"/>
      <c r="U378" s="82"/>
      <c r="V378" s="52"/>
      <c r="W378" s="52"/>
      <c r="X378" s="52"/>
      <c r="Y378" s="52"/>
      <c r="Z378" s="51"/>
      <c r="AA378" s="73">
        <v>378</v>
      </c>
      <c r="AB378" s="73"/>
      <c r="AC378" s="74"/>
      <c r="AD378" s="80" t="s">
        <v>1615</v>
      </c>
      <c r="AE378" s="80" t="s">
        <v>2612</v>
      </c>
      <c r="AF378" s="80" t="s">
        <v>3417</v>
      </c>
      <c r="AG378" s="80" t="s">
        <v>3877</v>
      </c>
      <c r="AH378" s="80" t="s">
        <v>4931</v>
      </c>
      <c r="AI378" s="80">
        <v>23383</v>
      </c>
      <c r="AJ378" s="80">
        <v>4</v>
      </c>
      <c r="AK378" s="80">
        <v>136</v>
      </c>
      <c r="AL378" s="80">
        <v>9</v>
      </c>
      <c r="AM378" s="80" t="s">
        <v>5614</v>
      </c>
      <c r="AN378" s="102" t="str">
        <f>HYPERLINK("https://www.youtube.com/watch?v=JWsdZYMdi6I")</f>
        <v>https://www.youtube.com/watch?v=JWsdZYMdi6I</v>
      </c>
      <c r="AO378" s="2"/>
      <c r="AP378" s="3"/>
      <c r="AQ378" s="3"/>
      <c r="AR378" s="3"/>
      <c r="AS378" s="3"/>
    </row>
    <row r="379" spans="1:45" ht="15">
      <c r="A379" s="66" t="s">
        <v>567</v>
      </c>
      <c r="B379" s="67"/>
      <c r="C379" s="67"/>
      <c r="D379" s="68"/>
      <c r="E379" s="70"/>
      <c r="F379" s="100" t="str">
        <f>HYPERLINK("https://i.ytimg.com/vi/Q8GRUsW8YHo/default.jpg")</f>
        <v>https://i.ytimg.com/vi/Q8GRUsW8YHo/default.jpg</v>
      </c>
      <c r="G379" s="67"/>
      <c r="H379" s="71"/>
      <c r="I379" s="72"/>
      <c r="J379" s="72"/>
      <c r="K379" s="71" t="s">
        <v>1616</v>
      </c>
      <c r="L379" s="75"/>
      <c r="M379" s="76">
        <v>4304.5712890625</v>
      </c>
      <c r="N379" s="76">
        <v>5299.5224609375</v>
      </c>
      <c r="O379" s="77"/>
      <c r="P379" s="78"/>
      <c r="Q379" s="78"/>
      <c r="R379" s="82"/>
      <c r="S379" s="82"/>
      <c r="T379" s="82"/>
      <c r="U379" s="82"/>
      <c r="V379" s="52"/>
      <c r="W379" s="52"/>
      <c r="X379" s="52"/>
      <c r="Y379" s="52"/>
      <c r="Z379" s="51"/>
      <c r="AA379" s="73">
        <v>379</v>
      </c>
      <c r="AB379" s="73"/>
      <c r="AC379" s="74"/>
      <c r="AD379" s="80" t="s">
        <v>1616</v>
      </c>
      <c r="AE379" s="80" t="s">
        <v>2613</v>
      </c>
      <c r="AF379" s="80" t="s">
        <v>3230</v>
      </c>
      <c r="AG379" s="80" t="s">
        <v>4123</v>
      </c>
      <c r="AH379" s="80" t="s">
        <v>4932</v>
      </c>
      <c r="AI379" s="80">
        <v>1802</v>
      </c>
      <c r="AJ379" s="80">
        <v>1</v>
      </c>
      <c r="AK379" s="80">
        <v>74</v>
      </c>
      <c r="AL379" s="80">
        <v>4</v>
      </c>
      <c r="AM379" s="80" t="s">
        <v>5614</v>
      </c>
      <c r="AN379" s="102" t="str">
        <f>HYPERLINK("https://www.youtube.com/watch?v=Q8GRUsW8YHo")</f>
        <v>https://www.youtube.com/watch?v=Q8GRUsW8YHo</v>
      </c>
      <c r="AO379" s="2"/>
      <c r="AP379" s="3"/>
      <c r="AQ379" s="3"/>
      <c r="AR379" s="3"/>
      <c r="AS379" s="3"/>
    </row>
    <row r="380" spans="1:45" ht="15">
      <c r="A380" s="66" t="s">
        <v>568</v>
      </c>
      <c r="B380" s="67"/>
      <c r="C380" s="67"/>
      <c r="D380" s="68"/>
      <c r="E380" s="70"/>
      <c r="F380" s="100" t="str">
        <f>HYPERLINK("https://i.ytimg.com/vi/p2tcNJozXPU/default.jpg")</f>
        <v>https://i.ytimg.com/vi/p2tcNJozXPU/default.jpg</v>
      </c>
      <c r="G380" s="67"/>
      <c r="H380" s="71"/>
      <c r="I380" s="72"/>
      <c r="J380" s="72"/>
      <c r="K380" s="71" t="s">
        <v>1617</v>
      </c>
      <c r="L380" s="75"/>
      <c r="M380" s="76">
        <v>4324.0498046875</v>
      </c>
      <c r="N380" s="76">
        <v>5931.04296875</v>
      </c>
      <c r="O380" s="77"/>
      <c r="P380" s="78"/>
      <c r="Q380" s="78"/>
      <c r="R380" s="82"/>
      <c r="S380" s="82"/>
      <c r="T380" s="82"/>
      <c r="U380" s="82"/>
      <c r="V380" s="52"/>
      <c r="W380" s="52"/>
      <c r="X380" s="52"/>
      <c r="Y380" s="52"/>
      <c r="Z380" s="51"/>
      <c r="AA380" s="73">
        <v>380</v>
      </c>
      <c r="AB380" s="73"/>
      <c r="AC380" s="74"/>
      <c r="AD380" s="80" t="s">
        <v>1617</v>
      </c>
      <c r="AE380" s="80" t="s">
        <v>2614</v>
      </c>
      <c r="AF380" s="80" t="s">
        <v>3418</v>
      </c>
      <c r="AG380" s="80" t="s">
        <v>4124</v>
      </c>
      <c r="AH380" s="80" t="s">
        <v>4933</v>
      </c>
      <c r="AI380" s="80">
        <v>13430</v>
      </c>
      <c r="AJ380" s="80">
        <v>2</v>
      </c>
      <c r="AK380" s="80">
        <v>131</v>
      </c>
      <c r="AL380" s="80">
        <v>4</v>
      </c>
      <c r="AM380" s="80" t="s">
        <v>5614</v>
      </c>
      <c r="AN380" s="102" t="str">
        <f>HYPERLINK("https://www.youtube.com/watch?v=p2tcNJozXPU")</f>
        <v>https://www.youtube.com/watch?v=p2tcNJozXPU</v>
      </c>
      <c r="AO380" s="2"/>
      <c r="AP380" s="3"/>
      <c r="AQ380" s="3"/>
      <c r="AR380" s="3"/>
      <c r="AS380" s="3"/>
    </row>
    <row r="381" spans="1:45" ht="15">
      <c r="A381" s="66" t="s">
        <v>569</v>
      </c>
      <c r="B381" s="67"/>
      <c r="C381" s="67"/>
      <c r="D381" s="68"/>
      <c r="E381" s="70"/>
      <c r="F381" s="100" t="str">
        <f>HYPERLINK("https://i.ytimg.com/vi/ewYKKvRdE68/default.jpg")</f>
        <v>https://i.ytimg.com/vi/ewYKKvRdE68/default.jpg</v>
      </c>
      <c r="G381" s="67"/>
      <c r="H381" s="71"/>
      <c r="I381" s="72"/>
      <c r="J381" s="72"/>
      <c r="K381" s="71" t="s">
        <v>1618</v>
      </c>
      <c r="L381" s="75"/>
      <c r="M381" s="76">
        <v>3826.392578125</v>
      </c>
      <c r="N381" s="76">
        <v>5965.10498046875</v>
      </c>
      <c r="O381" s="77"/>
      <c r="P381" s="78"/>
      <c r="Q381" s="78"/>
      <c r="R381" s="82"/>
      <c r="S381" s="82"/>
      <c r="T381" s="82"/>
      <c r="U381" s="82"/>
      <c r="V381" s="52"/>
      <c r="W381" s="52"/>
      <c r="X381" s="52"/>
      <c r="Y381" s="52"/>
      <c r="Z381" s="51"/>
      <c r="AA381" s="73">
        <v>381</v>
      </c>
      <c r="AB381" s="73"/>
      <c r="AC381" s="74"/>
      <c r="AD381" s="80" t="s">
        <v>1618</v>
      </c>
      <c r="AE381" s="80" t="s">
        <v>2615</v>
      </c>
      <c r="AF381" s="80"/>
      <c r="AG381" s="80" t="s">
        <v>4094</v>
      </c>
      <c r="AH381" s="80" t="s">
        <v>4934</v>
      </c>
      <c r="AI381" s="80">
        <v>1211</v>
      </c>
      <c r="AJ381" s="80">
        <v>2</v>
      </c>
      <c r="AK381" s="80">
        <v>26</v>
      </c>
      <c r="AL381" s="80">
        <v>1</v>
      </c>
      <c r="AM381" s="80" t="s">
        <v>5614</v>
      </c>
      <c r="AN381" s="102" t="str">
        <f>HYPERLINK("https://www.youtube.com/watch?v=ewYKKvRdE68")</f>
        <v>https://www.youtube.com/watch?v=ewYKKvRdE68</v>
      </c>
      <c r="AO381" s="2"/>
      <c r="AP381" s="3"/>
      <c r="AQ381" s="3"/>
      <c r="AR381" s="3"/>
      <c r="AS381" s="3"/>
    </row>
    <row r="382" spans="1:45" ht="15">
      <c r="A382" s="66" t="s">
        <v>197</v>
      </c>
      <c r="B382" s="67"/>
      <c r="C382" s="67"/>
      <c r="D382" s="68"/>
      <c r="E382" s="70"/>
      <c r="F382" s="100" t="str">
        <f>HYPERLINK("https://i.ytimg.com/vi/nIne3F5RMTw/default.jpg")</f>
        <v>https://i.ytimg.com/vi/nIne3F5RMTw/default.jpg</v>
      </c>
      <c r="G382" s="67"/>
      <c r="H382" s="71"/>
      <c r="I382" s="72"/>
      <c r="J382" s="72"/>
      <c r="K382" s="71" t="s">
        <v>1619</v>
      </c>
      <c r="L382" s="75"/>
      <c r="M382" s="76">
        <v>7345.2626953125</v>
      </c>
      <c r="N382" s="76">
        <v>4285.78466796875</v>
      </c>
      <c r="O382" s="77"/>
      <c r="P382" s="78"/>
      <c r="Q382" s="78"/>
      <c r="R382" s="82"/>
      <c r="S382" s="82"/>
      <c r="T382" s="82"/>
      <c r="U382" s="82"/>
      <c r="V382" s="52"/>
      <c r="W382" s="52"/>
      <c r="X382" s="52"/>
      <c r="Y382" s="52"/>
      <c r="Z382" s="51"/>
      <c r="AA382" s="73">
        <v>382</v>
      </c>
      <c r="AB382" s="73"/>
      <c r="AC382" s="74"/>
      <c r="AD382" s="80" t="s">
        <v>1619</v>
      </c>
      <c r="AE382" s="80"/>
      <c r="AF382" s="80"/>
      <c r="AG382" s="80" t="s">
        <v>4125</v>
      </c>
      <c r="AH382" s="80" t="s">
        <v>4935</v>
      </c>
      <c r="AI382" s="80">
        <v>577</v>
      </c>
      <c r="AJ382" s="80">
        <v>0</v>
      </c>
      <c r="AK382" s="80">
        <v>2</v>
      </c>
      <c r="AL382" s="80">
        <v>0</v>
      </c>
      <c r="AM382" s="80" t="s">
        <v>5614</v>
      </c>
      <c r="AN382" s="102" t="str">
        <f>HYPERLINK("https://www.youtube.com/watch?v=nIne3F5RMTw")</f>
        <v>https://www.youtube.com/watch?v=nIne3F5RMTw</v>
      </c>
      <c r="AO382" s="2"/>
      <c r="AP382" s="3"/>
      <c r="AQ382" s="3"/>
      <c r="AR382" s="3"/>
      <c r="AS382" s="3"/>
    </row>
    <row r="383" spans="1:45" ht="15">
      <c r="A383" s="66" t="s">
        <v>570</v>
      </c>
      <c r="B383" s="67"/>
      <c r="C383" s="67"/>
      <c r="D383" s="68"/>
      <c r="E383" s="70"/>
      <c r="F383" s="100" t="str">
        <f>HYPERLINK("https://i.ytimg.com/vi/LGtHu32jAac/default.jpg")</f>
        <v>https://i.ytimg.com/vi/LGtHu32jAac/default.jpg</v>
      </c>
      <c r="G383" s="67"/>
      <c r="H383" s="71"/>
      <c r="I383" s="72"/>
      <c r="J383" s="72"/>
      <c r="K383" s="71" t="s">
        <v>1620</v>
      </c>
      <c r="L383" s="75"/>
      <c r="M383" s="76">
        <v>9666.5087890625</v>
      </c>
      <c r="N383" s="76">
        <v>4904.8662109375</v>
      </c>
      <c r="O383" s="77"/>
      <c r="P383" s="78"/>
      <c r="Q383" s="78"/>
      <c r="R383" s="82"/>
      <c r="S383" s="82"/>
      <c r="T383" s="82"/>
      <c r="U383" s="82"/>
      <c r="V383" s="52"/>
      <c r="W383" s="52"/>
      <c r="X383" s="52"/>
      <c r="Y383" s="52"/>
      <c r="Z383" s="51"/>
      <c r="AA383" s="73">
        <v>383</v>
      </c>
      <c r="AB383" s="73"/>
      <c r="AC383" s="74"/>
      <c r="AD383" s="80" t="s">
        <v>1620</v>
      </c>
      <c r="AE383" s="80" t="s">
        <v>2616</v>
      </c>
      <c r="AF383" s="80"/>
      <c r="AG383" s="80" t="s">
        <v>4126</v>
      </c>
      <c r="AH383" s="80" t="s">
        <v>4936</v>
      </c>
      <c r="AI383" s="80">
        <v>1118358</v>
      </c>
      <c r="AJ383" s="80">
        <v>1333</v>
      </c>
      <c r="AK383" s="80">
        <v>7124</v>
      </c>
      <c r="AL383" s="80">
        <v>1442</v>
      </c>
      <c r="AM383" s="80" t="s">
        <v>5614</v>
      </c>
      <c r="AN383" s="102" t="str">
        <f>HYPERLINK("https://www.youtube.com/watch?v=LGtHu32jAac")</f>
        <v>https://www.youtube.com/watch?v=LGtHu32jAac</v>
      </c>
      <c r="AO383" s="2"/>
      <c r="AP383" s="3"/>
      <c r="AQ383" s="3"/>
      <c r="AR383" s="3"/>
      <c r="AS383" s="3"/>
    </row>
    <row r="384" spans="1:45" ht="15">
      <c r="A384" s="66" t="s">
        <v>571</v>
      </c>
      <c r="B384" s="67"/>
      <c r="C384" s="67"/>
      <c r="D384" s="68"/>
      <c r="E384" s="70"/>
      <c r="F384" s="100" t="str">
        <f>HYPERLINK("https://i.ytimg.com/vi/QuSihfeySqo/default.jpg")</f>
        <v>https://i.ytimg.com/vi/QuSihfeySqo/default.jpg</v>
      </c>
      <c r="G384" s="67"/>
      <c r="H384" s="71"/>
      <c r="I384" s="72"/>
      <c r="J384" s="72"/>
      <c r="K384" s="71" t="s">
        <v>1621</v>
      </c>
      <c r="L384" s="75"/>
      <c r="M384" s="76">
        <v>9645.75</v>
      </c>
      <c r="N384" s="76">
        <v>4643.23828125</v>
      </c>
      <c r="O384" s="77"/>
      <c r="P384" s="78"/>
      <c r="Q384" s="78"/>
      <c r="R384" s="82"/>
      <c r="S384" s="82"/>
      <c r="T384" s="82"/>
      <c r="U384" s="82"/>
      <c r="V384" s="52"/>
      <c r="W384" s="52"/>
      <c r="X384" s="52"/>
      <c r="Y384" s="52"/>
      <c r="Z384" s="51"/>
      <c r="AA384" s="73">
        <v>384</v>
      </c>
      <c r="AB384" s="73"/>
      <c r="AC384" s="74"/>
      <c r="AD384" s="80" t="s">
        <v>1621</v>
      </c>
      <c r="AE384" s="80"/>
      <c r="AF384" s="80" t="s">
        <v>3419</v>
      </c>
      <c r="AG384" s="80" t="s">
        <v>4127</v>
      </c>
      <c r="AH384" s="80" t="s">
        <v>4937</v>
      </c>
      <c r="AI384" s="80">
        <v>31917</v>
      </c>
      <c r="AJ384" s="80">
        <v>14</v>
      </c>
      <c r="AK384" s="80">
        <v>272</v>
      </c>
      <c r="AL384" s="80">
        <v>23</v>
      </c>
      <c r="AM384" s="80" t="s">
        <v>5614</v>
      </c>
      <c r="AN384" s="102" t="str">
        <f>HYPERLINK("https://www.youtube.com/watch?v=QuSihfeySqo")</f>
        <v>https://www.youtube.com/watch?v=QuSihfeySqo</v>
      </c>
      <c r="AO384" s="2"/>
      <c r="AP384" s="3"/>
      <c r="AQ384" s="3"/>
      <c r="AR384" s="3"/>
      <c r="AS384" s="3"/>
    </row>
    <row r="385" spans="1:45" ht="15">
      <c r="A385" s="66" t="s">
        <v>572</v>
      </c>
      <c r="B385" s="67"/>
      <c r="C385" s="67"/>
      <c r="D385" s="68"/>
      <c r="E385" s="70"/>
      <c r="F385" s="100" t="str">
        <f>HYPERLINK("https://i.ytimg.com/vi/wWxzipZaIkA/default.jpg")</f>
        <v>https://i.ytimg.com/vi/wWxzipZaIkA/default.jpg</v>
      </c>
      <c r="G385" s="67"/>
      <c r="H385" s="71"/>
      <c r="I385" s="72"/>
      <c r="J385" s="72"/>
      <c r="K385" s="71" t="s">
        <v>1622</v>
      </c>
      <c r="L385" s="75"/>
      <c r="M385" s="76">
        <v>9557.6728515625</v>
      </c>
      <c r="N385" s="76">
        <v>4958.04638671875</v>
      </c>
      <c r="O385" s="77"/>
      <c r="P385" s="78"/>
      <c r="Q385" s="78"/>
      <c r="R385" s="82"/>
      <c r="S385" s="82"/>
      <c r="T385" s="82"/>
      <c r="U385" s="82"/>
      <c r="V385" s="52"/>
      <c r="W385" s="52"/>
      <c r="X385" s="52"/>
      <c r="Y385" s="52"/>
      <c r="Z385" s="51"/>
      <c r="AA385" s="73">
        <v>385</v>
      </c>
      <c r="AB385" s="73"/>
      <c r="AC385" s="74"/>
      <c r="AD385" s="80" t="s">
        <v>1622</v>
      </c>
      <c r="AE385" s="80" t="s">
        <v>2617</v>
      </c>
      <c r="AF385" s="80" t="s">
        <v>3420</v>
      </c>
      <c r="AG385" s="80" t="s">
        <v>4128</v>
      </c>
      <c r="AH385" s="80" t="s">
        <v>4938</v>
      </c>
      <c r="AI385" s="80">
        <v>19550705</v>
      </c>
      <c r="AJ385" s="80">
        <v>23647</v>
      </c>
      <c r="AK385" s="80">
        <v>394967</v>
      </c>
      <c r="AL385" s="80">
        <v>12618</v>
      </c>
      <c r="AM385" s="80" t="s">
        <v>5614</v>
      </c>
      <c r="AN385" s="102" t="str">
        <f>HYPERLINK("https://www.youtube.com/watch?v=wWxzipZaIkA")</f>
        <v>https://www.youtube.com/watch?v=wWxzipZaIkA</v>
      </c>
      <c r="AO385" s="2"/>
      <c r="AP385" s="3"/>
      <c r="AQ385" s="3"/>
      <c r="AR385" s="3"/>
      <c r="AS385" s="3"/>
    </row>
    <row r="386" spans="1:45" ht="15">
      <c r="A386" s="66" t="s">
        <v>573</v>
      </c>
      <c r="B386" s="67"/>
      <c r="C386" s="67"/>
      <c r="D386" s="68"/>
      <c r="E386" s="70"/>
      <c r="F386" s="100" t="str">
        <f>HYPERLINK("https://i.ytimg.com/vi/7gC0Bq-K9ac/default.jpg")</f>
        <v>https://i.ytimg.com/vi/7gC0Bq-K9ac/default.jpg</v>
      </c>
      <c r="G386" s="67"/>
      <c r="H386" s="71"/>
      <c r="I386" s="72"/>
      <c r="J386" s="72"/>
      <c r="K386" s="71" t="s">
        <v>1623</v>
      </c>
      <c r="L386" s="75"/>
      <c r="M386" s="76">
        <v>9545.107421875</v>
      </c>
      <c r="N386" s="76">
        <v>5106.14794921875</v>
      </c>
      <c r="O386" s="77"/>
      <c r="P386" s="78"/>
      <c r="Q386" s="78"/>
      <c r="R386" s="82"/>
      <c r="S386" s="82"/>
      <c r="T386" s="82"/>
      <c r="U386" s="82"/>
      <c r="V386" s="52"/>
      <c r="W386" s="52"/>
      <c r="X386" s="52"/>
      <c r="Y386" s="52"/>
      <c r="Z386" s="51"/>
      <c r="AA386" s="73">
        <v>386</v>
      </c>
      <c r="AB386" s="73"/>
      <c r="AC386" s="74"/>
      <c r="AD386" s="80" t="s">
        <v>1623</v>
      </c>
      <c r="AE386" s="80" t="s">
        <v>2618</v>
      </c>
      <c r="AF386" s="80" t="s">
        <v>3421</v>
      </c>
      <c r="AG386" s="80" t="s">
        <v>3943</v>
      </c>
      <c r="AH386" s="80" t="s">
        <v>4939</v>
      </c>
      <c r="AI386" s="80">
        <v>276936</v>
      </c>
      <c r="AJ386" s="80">
        <v>1134</v>
      </c>
      <c r="AK386" s="80">
        <v>8579</v>
      </c>
      <c r="AL386" s="80">
        <v>530</v>
      </c>
      <c r="AM386" s="80" t="s">
        <v>5614</v>
      </c>
      <c r="AN386" s="102" t="str">
        <f>HYPERLINK("https://www.youtube.com/watch?v=7gC0Bq-K9ac")</f>
        <v>https://www.youtube.com/watch?v=7gC0Bq-K9ac</v>
      </c>
      <c r="AO386" s="2"/>
      <c r="AP386" s="3"/>
      <c r="AQ386" s="3"/>
      <c r="AR386" s="3"/>
      <c r="AS386" s="3"/>
    </row>
    <row r="387" spans="1:45" ht="15">
      <c r="A387" s="66" t="s">
        <v>574</v>
      </c>
      <c r="B387" s="67"/>
      <c r="C387" s="67"/>
      <c r="D387" s="68"/>
      <c r="E387" s="70"/>
      <c r="F387" s="100" t="str">
        <f>HYPERLINK("https://i.ytimg.com/vi/7DX_v72vQYc/default.jpg")</f>
        <v>https://i.ytimg.com/vi/7DX_v72vQYc/default.jpg</v>
      </c>
      <c r="G387" s="67"/>
      <c r="H387" s="71"/>
      <c r="I387" s="72"/>
      <c r="J387" s="72"/>
      <c r="K387" s="71" t="s">
        <v>1624</v>
      </c>
      <c r="L387" s="75"/>
      <c r="M387" s="76">
        <v>9751.869140625</v>
      </c>
      <c r="N387" s="76">
        <v>4735.82373046875</v>
      </c>
      <c r="O387" s="77"/>
      <c r="P387" s="78"/>
      <c r="Q387" s="78"/>
      <c r="R387" s="82"/>
      <c r="S387" s="82"/>
      <c r="T387" s="82"/>
      <c r="U387" s="82"/>
      <c r="V387" s="52"/>
      <c r="W387" s="52"/>
      <c r="X387" s="52"/>
      <c r="Y387" s="52"/>
      <c r="Z387" s="51"/>
      <c r="AA387" s="73">
        <v>387</v>
      </c>
      <c r="AB387" s="73"/>
      <c r="AC387" s="74"/>
      <c r="AD387" s="80" t="s">
        <v>1624</v>
      </c>
      <c r="AE387" s="80" t="s">
        <v>2619</v>
      </c>
      <c r="AF387" s="80" t="s">
        <v>3422</v>
      </c>
      <c r="AG387" s="80" t="s">
        <v>4129</v>
      </c>
      <c r="AH387" s="80" t="s">
        <v>4940</v>
      </c>
      <c r="AI387" s="80">
        <v>43981</v>
      </c>
      <c r="AJ387" s="80">
        <v>1</v>
      </c>
      <c r="AK387" s="80">
        <v>204</v>
      </c>
      <c r="AL387" s="80">
        <v>23</v>
      </c>
      <c r="AM387" s="80" t="s">
        <v>5614</v>
      </c>
      <c r="AN387" s="102" t="str">
        <f>HYPERLINK("https://www.youtube.com/watch?v=7DX_v72vQYc")</f>
        <v>https://www.youtube.com/watch?v=7DX_v72vQYc</v>
      </c>
      <c r="AO387" s="2"/>
      <c r="AP387" s="3"/>
      <c r="AQ387" s="3"/>
      <c r="AR387" s="3"/>
      <c r="AS387" s="3"/>
    </row>
    <row r="388" spans="1:45" ht="15">
      <c r="A388" s="66" t="s">
        <v>575</v>
      </c>
      <c r="B388" s="67"/>
      <c r="C388" s="67"/>
      <c r="D388" s="68"/>
      <c r="E388" s="70"/>
      <c r="F388" s="100" t="str">
        <f>HYPERLINK("https://i.ytimg.com/vi/ooZWLhf4JG8/default.jpg")</f>
        <v>https://i.ytimg.com/vi/ooZWLhf4JG8/default.jpg</v>
      </c>
      <c r="G388" s="67"/>
      <c r="H388" s="71"/>
      <c r="I388" s="72"/>
      <c r="J388" s="72"/>
      <c r="K388" s="71" t="s">
        <v>1625</v>
      </c>
      <c r="L388" s="75"/>
      <c r="M388" s="76">
        <v>9595.1845703125</v>
      </c>
      <c r="N388" s="76">
        <v>4995.8134765625</v>
      </c>
      <c r="O388" s="77"/>
      <c r="P388" s="78"/>
      <c r="Q388" s="78"/>
      <c r="R388" s="82"/>
      <c r="S388" s="82"/>
      <c r="T388" s="82"/>
      <c r="U388" s="82"/>
      <c r="V388" s="52"/>
      <c r="W388" s="52"/>
      <c r="X388" s="52"/>
      <c r="Y388" s="52"/>
      <c r="Z388" s="51"/>
      <c r="AA388" s="73">
        <v>388</v>
      </c>
      <c r="AB388" s="73"/>
      <c r="AC388" s="74"/>
      <c r="AD388" s="80" t="s">
        <v>1625</v>
      </c>
      <c r="AE388" s="80" t="s">
        <v>2620</v>
      </c>
      <c r="AF388" s="80" t="s">
        <v>3423</v>
      </c>
      <c r="AG388" s="80" t="s">
        <v>4130</v>
      </c>
      <c r="AH388" s="80" t="s">
        <v>4941</v>
      </c>
      <c r="AI388" s="80">
        <v>3349803</v>
      </c>
      <c r="AJ388" s="80">
        <v>1342</v>
      </c>
      <c r="AK388" s="80">
        <v>51031</v>
      </c>
      <c r="AL388" s="80">
        <v>2068</v>
      </c>
      <c r="AM388" s="80" t="s">
        <v>5614</v>
      </c>
      <c r="AN388" s="102" t="str">
        <f>HYPERLINK("https://www.youtube.com/watch?v=ooZWLhf4JG8")</f>
        <v>https://www.youtube.com/watch?v=ooZWLhf4JG8</v>
      </c>
      <c r="AO388" s="2"/>
      <c r="AP388" s="3"/>
      <c r="AQ388" s="3"/>
      <c r="AR388" s="3"/>
      <c r="AS388" s="3"/>
    </row>
    <row r="389" spans="1:45" ht="15">
      <c r="A389" s="66" t="s">
        <v>576</v>
      </c>
      <c r="B389" s="67"/>
      <c r="C389" s="67"/>
      <c r="D389" s="68"/>
      <c r="E389" s="70"/>
      <c r="F389" s="100" t="str">
        <f>HYPERLINK("https://i.ytimg.com/vi/ycRz6iVQHTg/default.jpg")</f>
        <v>https://i.ytimg.com/vi/ycRz6iVQHTg/default.jpg</v>
      </c>
      <c r="G389" s="67"/>
      <c r="H389" s="71"/>
      <c r="I389" s="72"/>
      <c r="J389" s="72"/>
      <c r="K389" s="71" t="s">
        <v>1626</v>
      </c>
      <c r="L389" s="75"/>
      <c r="M389" s="76">
        <v>9719.890625</v>
      </c>
      <c r="N389" s="76">
        <v>4863.3203125</v>
      </c>
      <c r="O389" s="77"/>
      <c r="P389" s="78"/>
      <c r="Q389" s="78"/>
      <c r="R389" s="82"/>
      <c r="S389" s="82"/>
      <c r="T389" s="82"/>
      <c r="U389" s="82"/>
      <c r="V389" s="52"/>
      <c r="W389" s="52"/>
      <c r="X389" s="52"/>
      <c r="Y389" s="52"/>
      <c r="Z389" s="51"/>
      <c r="AA389" s="73">
        <v>389</v>
      </c>
      <c r="AB389" s="73"/>
      <c r="AC389" s="74"/>
      <c r="AD389" s="80" t="s">
        <v>1626</v>
      </c>
      <c r="AE389" s="80" t="s">
        <v>2621</v>
      </c>
      <c r="AF389" s="80"/>
      <c r="AG389" s="80" t="s">
        <v>4131</v>
      </c>
      <c r="AH389" s="80" t="s">
        <v>4942</v>
      </c>
      <c r="AI389" s="80">
        <v>1552889</v>
      </c>
      <c r="AJ389" s="80">
        <v>868</v>
      </c>
      <c r="AK389" s="80">
        <v>7026</v>
      </c>
      <c r="AL389" s="80">
        <v>3830</v>
      </c>
      <c r="AM389" s="80" t="s">
        <v>5614</v>
      </c>
      <c r="AN389" s="102" t="str">
        <f>HYPERLINK("https://www.youtube.com/watch?v=ycRz6iVQHTg")</f>
        <v>https://www.youtube.com/watch?v=ycRz6iVQHTg</v>
      </c>
      <c r="AO389" s="2"/>
      <c r="AP389" s="3"/>
      <c r="AQ389" s="3"/>
      <c r="AR389" s="3"/>
      <c r="AS389" s="3"/>
    </row>
    <row r="390" spans="1:45" ht="15">
      <c r="A390" s="66" t="s">
        <v>577</v>
      </c>
      <c r="B390" s="67"/>
      <c r="C390" s="67"/>
      <c r="D390" s="68"/>
      <c r="E390" s="70"/>
      <c r="F390" s="100" t="str">
        <f>HYPERLINK("https://i.ytimg.com/vi/WVEnhecsj3Y/default.jpg")</f>
        <v>https://i.ytimg.com/vi/WVEnhecsj3Y/default.jpg</v>
      </c>
      <c r="G390" s="67"/>
      <c r="H390" s="71"/>
      <c r="I390" s="72"/>
      <c r="J390" s="72"/>
      <c r="K390" s="71" t="s">
        <v>1627</v>
      </c>
      <c r="L390" s="75"/>
      <c r="M390" s="76">
        <v>9404.4970703125</v>
      </c>
      <c r="N390" s="76">
        <v>5384.693359375</v>
      </c>
      <c r="O390" s="77"/>
      <c r="P390" s="78"/>
      <c r="Q390" s="78"/>
      <c r="R390" s="82"/>
      <c r="S390" s="82"/>
      <c r="T390" s="82"/>
      <c r="U390" s="82"/>
      <c r="V390" s="52"/>
      <c r="W390" s="52"/>
      <c r="X390" s="52"/>
      <c r="Y390" s="52"/>
      <c r="Z390" s="51"/>
      <c r="AA390" s="73">
        <v>390</v>
      </c>
      <c r="AB390" s="73"/>
      <c r="AC390" s="74"/>
      <c r="AD390" s="80" t="s">
        <v>1627</v>
      </c>
      <c r="AE390" s="80" t="s">
        <v>2622</v>
      </c>
      <c r="AF390" s="80" t="s">
        <v>3424</v>
      </c>
      <c r="AG390" s="80" t="s">
        <v>3884</v>
      </c>
      <c r="AH390" s="80" t="s">
        <v>4943</v>
      </c>
      <c r="AI390" s="80">
        <v>1148375</v>
      </c>
      <c r="AJ390" s="80">
        <v>347</v>
      </c>
      <c r="AK390" s="80">
        <v>14050</v>
      </c>
      <c r="AL390" s="80">
        <v>441</v>
      </c>
      <c r="AM390" s="80" t="s">
        <v>5614</v>
      </c>
      <c r="AN390" s="102" t="str">
        <f>HYPERLINK("https://www.youtube.com/watch?v=WVEnhecsj3Y")</f>
        <v>https://www.youtube.com/watch?v=WVEnhecsj3Y</v>
      </c>
      <c r="AO390" s="2"/>
      <c r="AP390" s="3"/>
      <c r="AQ390" s="3"/>
      <c r="AR390" s="3"/>
      <c r="AS390" s="3"/>
    </row>
    <row r="391" spans="1:45" ht="15">
      <c r="A391" s="66" t="s">
        <v>578</v>
      </c>
      <c r="B391" s="67"/>
      <c r="C391" s="67"/>
      <c r="D391" s="68"/>
      <c r="E391" s="70"/>
      <c r="F391" s="100" t="str">
        <f>HYPERLINK("https://i.ytimg.com/vi/JG12lo9m5Ik/default.jpg")</f>
        <v>https://i.ytimg.com/vi/JG12lo9m5Ik/default.jpg</v>
      </c>
      <c r="G391" s="67"/>
      <c r="H391" s="71"/>
      <c r="I391" s="72"/>
      <c r="J391" s="72"/>
      <c r="K391" s="71" t="s">
        <v>1628</v>
      </c>
      <c r="L391" s="75"/>
      <c r="M391" s="76">
        <v>9630.9111328125</v>
      </c>
      <c r="N391" s="76">
        <v>4781.04638671875</v>
      </c>
      <c r="O391" s="77"/>
      <c r="P391" s="78"/>
      <c r="Q391" s="78"/>
      <c r="R391" s="82"/>
      <c r="S391" s="82"/>
      <c r="T391" s="82"/>
      <c r="U391" s="82"/>
      <c r="V391" s="52"/>
      <c r="W391" s="52"/>
      <c r="X391" s="52"/>
      <c r="Y391" s="52"/>
      <c r="Z391" s="51"/>
      <c r="AA391" s="73">
        <v>391</v>
      </c>
      <c r="AB391" s="73"/>
      <c r="AC391" s="74"/>
      <c r="AD391" s="80" t="s">
        <v>1628</v>
      </c>
      <c r="AE391" s="80" t="s">
        <v>2623</v>
      </c>
      <c r="AF391" s="80" t="s">
        <v>3425</v>
      </c>
      <c r="AG391" s="80" t="s">
        <v>4132</v>
      </c>
      <c r="AH391" s="80" t="s">
        <v>4944</v>
      </c>
      <c r="AI391" s="80">
        <v>211895</v>
      </c>
      <c r="AJ391" s="80">
        <v>101</v>
      </c>
      <c r="AK391" s="80">
        <v>2085</v>
      </c>
      <c r="AL391" s="80">
        <v>139</v>
      </c>
      <c r="AM391" s="80" t="s">
        <v>5614</v>
      </c>
      <c r="AN391" s="102" t="str">
        <f>HYPERLINK("https://www.youtube.com/watch?v=JG12lo9m5Ik")</f>
        <v>https://www.youtube.com/watch?v=JG12lo9m5Ik</v>
      </c>
      <c r="AO391" s="2"/>
      <c r="AP391" s="3"/>
      <c r="AQ391" s="3"/>
      <c r="AR391" s="3"/>
      <c r="AS391" s="3"/>
    </row>
    <row r="392" spans="1:45" ht="15">
      <c r="A392" s="66" t="s">
        <v>579</v>
      </c>
      <c r="B392" s="67"/>
      <c r="C392" s="67"/>
      <c r="D392" s="68"/>
      <c r="E392" s="70"/>
      <c r="F392" s="100" t="str">
        <f>HYPERLINK("https://i.ytimg.com/vi/OwOpUuMjpxk/default.jpg")</f>
        <v>https://i.ytimg.com/vi/OwOpUuMjpxk/default.jpg</v>
      </c>
      <c r="G392" s="67"/>
      <c r="H392" s="71"/>
      <c r="I392" s="72"/>
      <c r="J392" s="72"/>
      <c r="K392" s="71" t="s">
        <v>1629</v>
      </c>
      <c r="L392" s="75"/>
      <c r="M392" s="76">
        <v>9563.453125</v>
      </c>
      <c r="N392" s="76">
        <v>5074.72021484375</v>
      </c>
      <c r="O392" s="77"/>
      <c r="P392" s="78"/>
      <c r="Q392" s="78"/>
      <c r="R392" s="82"/>
      <c r="S392" s="82"/>
      <c r="T392" s="82"/>
      <c r="U392" s="82"/>
      <c r="V392" s="52"/>
      <c r="W392" s="52"/>
      <c r="X392" s="52"/>
      <c r="Y392" s="52"/>
      <c r="Z392" s="51"/>
      <c r="AA392" s="73">
        <v>392</v>
      </c>
      <c r="AB392" s="73"/>
      <c r="AC392" s="74"/>
      <c r="AD392" s="80" t="s">
        <v>1629</v>
      </c>
      <c r="AE392" s="80" t="s">
        <v>2624</v>
      </c>
      <c r="AF392" s="80" t="s">
        <v>3426</v>
      </c>
      <c r="AG392" s="80" t="s">
        <v>4133</v>
      </c>
      <c r="AH392" s="80" t="s">
        <v>4945</v>
      </c>
      <c r="AI392" s="80">
        <v>828458</v>
      </c>
      <c r="AJ392" s="80">
        <v>89</v>
      </c>
      <c r="AK392" s="80">
        <v>2959</v>
      </c>
      <c r="AL392" s="80">
        <v>277</v>
      </c>
      <c r="AM392" s="80" t="s">
        <v>5614</v>
      </c>
      <c r="AN392" s="102" t="str">
        <f>HYPERLINK("https://www.youtube.com/watch?v=OwOpUuMjpxk")</f>
        <v>https://www.youtube.com/watch?v=OwOpUuMjpxk</v>
      </c>
      <c r="AO392" s="2"/>
      <c r="AP392" s="3"/>
      <c r="AQ392" s="3"/>
      <c r="AR392" s="3"/>
      <c r="AS392" s="3"/>
    </row>
    <row r="393" spans="1:45" ht="15">
      <c r="A393" s="66" t="s">
        <v>580</v>
      </c>
      <c r="B393" s="67"/>
      <c r="C393" s="67"/>
      <c r="D393" s="68"/>
      <c r="E393" s="70"/>
      <c r="F393" s="100" t="str">
        <f>HYPERLINK("https://i.ytimg.com/vi/lqkwqVzxjw0/default.jpg")</f>
        <v>https://i.ytimg.com/vi/lqkwqVzxjw0/default.jpg</v>
      </c>
      <c r="G393" s="67"/>
      <c r="H393" s="71"/>
      <c r="I393" s="72"/>
      <c r="J393" s="72"/>
      <c r="K393" s="71" t="s">
        <v>1630</v>
      </c>
      <c r="L393" s="75"/>
      <c r="M393" s="76">
        <v>9515.9775390625</v>
      </c>
      <c r="N393" s="76">
        <v>5246.341796875</v>
      </c>
      <c r="O393" s="77"/>
      <c r="P393" s="78"/>
      <c r="Q393" s="78"/>
      <c r="R393" s="82"/>
      <c r="S393" s="82"/>
      <c r="T393" s="82"/>
      <c r="U393" s="82"/>
      <c r="V393" s="52"/>
      <c r="W393" s="52"/>
      <c r="X393" s="52"/>
      <c r="Y393" s="52"/>
      <c r="Z393" s="51"/>
      <c r="AA393" s="73">
        <v>393</v>
      </c>
      <c r="AB393" s="73"/>
      <c r="AC393" s="74"/>
      <c r="AD393" s="80" t="s">
        <v>1630</v>
      </c>
      <c r="AE393" s="80" t="s">
        <v>2625</v>
      </c>
      <c r="AF393" s="80"/>
      <c r="AG393" s="80" t="s">
        <v>4134</v>
      </c>
      <c r="AH393" s="80" t="s">
        <v>4946</v>
      </c>
      <c r="AI393" s="80">
        <v>256692</v>
      </c>
      <c r="AJ393" s="80">
        <v>179</v>
      </c>
      <c r="AK393" s="80">
        <v>2356</v>
      </c>
      <c r="AL393" s="80">
        <v>109</v>
      </c>
      <c r="AM393" s="80" t="s">
        <v>5614</v>
      </c>
      <c r="AN393" s="102" t="str">
        <f>HYPERLINK("https://www.youtube.com/watch?v=lqkwqVzxjw0")</f>
        <v>https://www.youtube.com/watch?v=lqkwqVzxjw0</v>
      </c>
      <c r="AO393" s="2"/>
      <c r="AP393" s="3"/>
      <c r="AQ393" s="3"/>
      <c r="AR393" s="3"/>
      <c r="AS393" s="3"/>
    </row>
    <row r="394" spans="1:45" ht="15">
      <c r="A394" s="66" t="s">
        <v>581</v>
      </c>
      <c r="B394" s="67"/>
      <c r="C394" s="67"/>
      <c r="D394" s="68"/>
      <c r="E394" s="70"/>
      <c r="F394" s="100" t="str">
        <f>HYPERLINK("https://i.ytimg.com/vi/YNOXSDIlFcI/default.jpg")</f>
        <v>https://i.ytimg.com/vi/YNOXSDIlFcI/default.jpg</v>
      </c>
      <c r="G394" s="67"/>
      <c r="H394" s="71"/>
      <c r="I394" s="72"/>
      <c r="J394" s="72"/>
      <c r="K394" s="71" t="s">
        <v>1631</v>
      </c>
      <c r="L394" s="75"/>
      <c r="M394" s="76">
        <v>9489.439453125</v>
      </c>
      <c r="N394" s="76">
        <v>4903.51611328125</v>
      </c>
      <c r="O394" s="77"/>
      <c r="P394" s="78"/>
      <c r="Q394" s="78"/>
      <c r="R394" s="82"/>
      <c r="S394" s="82"/>
      <c r="T394" s="82"/>
      <c r="U394" s="82"/>
      <c r="V394" s="52"/>
      <c r="W394" s="52"/>
      <c r="X394" s="52"/>
      <c r="Y394" s="52"/>
      <c r="Z394" s="51"/>
      <c r="AA394" s="73">
        <v>394</v>
      </c>
      <c r="AB394" s="73"/>
      <c r="AC394" s="74"/>
      <c r="AD394" s="80" t="s">
        <v>1631</v>
      </c>
      <c r="AE394" s="80" t="s">
        <v>2626</v>
      </c>
      <c r="AF394" s="80" t="s">
        <v>3427</v>
      </c>
      <c r="AG394" s="80" t="s">
        <v>4135</v>
      </c>
      <c r="AH394" s="80" t="s">
        <v>4947</v>
      </c>
      <c r="AI394" s="80">
        <v>367121</v>
      </c>
      <c r="AJ394" s="80">
        <v>182</v>
      </c>
      <c r="AK394" s="80">
        <v>9379</v>
      </c>
      <c r="AL394" s="80">
        <v>391</v>
      </c>
      <c r="AM394" s="80" t="s">
        <v>5614</v>
      </c>
      <c r="AN394" s="102" t="str">
        <f>HYPERLINK("https://www.youtube.com/watch?v=YNOXSDIlFcI")</f>
        <v>https://www.youtube.com/watch?v=YNOXSDIlFcI</v>
      </c>
      <c r="AO394" s="2"/>
      <c r="AP394" s="3"/>
      <c r="AQ394" s="3"/>
      <c r="AR394" s="3"/>
      <c r="AS394" s="3"/>
    </row>
    <row r="395" spans="1:45" ht="15">
      <c r="A395" s="66" t="s">
        <v>582</v>
      </c>
      <c r="B395" s="67"/>
      <c r="C395" s="67"/>
      <c r="D395" s="68"/>
      <c r="E395" s="70"/>
      <c r="F395" s="100" t="str">
        <f>HYPERLINK("https://i.ytimg.com/vi/Dpo9Zh92vA4/default.jpg")</f>
        <v>https://i.ytimg.com/vi/Dpo9Zh92vA4/default.jpg</v>
      </c>
      <c r="G395" s="67"/>
      <c r="H395" s="71"/>
      <c r="I395" s="72"/>
      <c r="J395" s="72"/>
      <c r="K395" s="71" t="s">
        <v>1632</v>
      </c>
      <c r="L395" s="75"/>
      <c r="M395" s="76">
        <v>9299.79296875</v>
      </c>
      <c r="N395" s="76">
        <v>5640.32763671875</v>
      </c>
      <c r="O395" s="77"/>
      <c r="P395" s="78"/>
      <c r="Q395" s="78"/>
      <c r="R395" s="82"/>
      <c r="S395" s="82"/>
      <c r="T395" s="82"/>
      <c r="U395" s="82"/>
      <c r="V395" s="52"/>
      <c r="W395" s="52"/>
      <c r="X395" s="52"/>
      <c r="Y395" s="52"/>
      <c r="Z395" s="51"/>
      <c r="AA395" s="73">
        <v>395</v>
      </c>
      <c r="AB395" s="73"/>
      <c r="AC395" s="74"/>
      <c r="AD395" s="80" t="s">
        <v>1632</v>
      </c>
      <c r="AE395" s="80" t="s">
        <v>2627</v>
      </c>
      <c r="AF395" s="80" t="s">
        <v>3428</v>
      </c>
      <c r="AG395" s="80" t="s">
        <v>4136</v>
      </c>
      <c r="AH395" s="80" t="s">
        <v>4948</v>
      </c>
      <c r="AI395" s="80">
        <v>653204</v>
      </c>
      <c r="AJ395" s="80">
        <v>573</v>
      </c>
      <c r="AK395" s="80">
        <v>2070</v>
      </c>
      <c r="AL395" s="80">
        <v>245</v>
      </c>
      <c r="AM395" s="80" t="s">
        <v>5614</v>
      </c>
      <c r="AN395" s="102" t="str">
        <f>HYPERLINK("https://www.youtube.com/watch?v=Dpo9Zh92vA4")</f>
        <v>https://www.youtube.com/watch?v=Dpo9Zh92vA4</v>
      </c>
      <c r="AO395" s="2"/>
      <c r="AP395" s="3"/>
      <c r="AQ395" s="3"/>
      <c r="AR395" s="3"/>
      <c r="AS395" s="3"/>
    </row>
    <row r="396" spans="1:45" ht="15">
      <c r="A396" s="66" t="s">
        <v>583</v>
      </c>
      <c r="B396" s="67"/>
      <c r="C396" s="67"/>
      <c r="D396" s="68"/>
      <c r="E396" s="70"/>
      <c r="F396" s="100" t="str">
        <f>HYPERLINK("https://i.ytimg.com/vi/FiDYpJ3DINc/default.jpg")</f>
        <v>https://i.ytimg.com/vi/FiDYpJ3DINc/default.jpg</v>
      </c>
      <c r="G396" s="67"/>
      <c r="H396" s="71"/>
      <c r="I396" s="72"/>
      <c r="J396" s="72"/>
      <c r="K396" s="71" t="s">
        <v>1633</v>
      </c>
      <c r="L396" s="75"/>
      <c r="M396" s="76">
        <v>9346.1328125</v>
      </c>
      <c r="N396" s="76">
        <v>5551.26708984375</v>
      </c>
      <c r="O396" s="77"/>
      <c r="P396" s="78"/>
      <c r="Q396" s="78"/>
      <c r="R396" s="82"/>
      <c r="S396" s="82"/>
      <c r="T396" s="82"/>
      <c r="U396" s="82"/>
      <c r="V396" s="52"/>
      <c r="W396" s="52"/>
      <c r="X396" s="52"/>
      <c r="Y396" s="52"/>
      <c r="Z396" s="51"/>
      <c r="AA396" s="73">
        <v>396</v>
      </c>
      <c r="AB396" s="73"/>
      <c r="AC396" s="74"/>
      <c r="AD396" s="80" t="s">
        <v>1633</v>
      </c>
      <c r="AE396" s="80" t="s">
        <v>2628</v>
      </c>
      <c r="AF396" s="80" t="s">
        <v>3429</v>
      </c>
      <c r="AG396" s="80" t="s">
        <v>4137</v>
      </c>
      <c r="AH396" s="80" t="s">
        <v>4949</v>
      </c>
      <c r="AI396" s="80">
        <v>368620</v>
      </c>
      <c r="AJ396" s="80">
        <v>440</v>
      </c>
      <c r="AK396" s="80">
        <v>6815</v>
      </c>
      <c r="AL396" s="80">
        <v>511</v>
      </c>
      <c r="AM396" s="80" t="s">
        <v>5614</v>
      </c>
      <c r="AN396" s="102" t="str">
        <f>HYPERLINK("https://www.youtube.com/watch?v=FiDYpJ3DINc")</f>
        <v>https://www.youtube.com/watch?v=FiDYpJ3DINc</v>
      </c>
      <c r="AO396" s="2"/>
      <c r="AP396" s="3"/>
      <c r="AQ396" s="3"/>
      <c r="AR396" s="3"/>
      <c r="AS396" s="3"/>
    </row>
    <row r="397" spans="1:45" ht="15">
      <c r="A397" s="66" t="s">
        <v>584</v>
      </c>
      <c r="B397" s="67"/>
      <c r="C397" s="67"/>
      <c r="D397" s="68"/>
      <c r="E397" s="70"/>
      <c r="F397" s="100" t="str">
        <f>HYPERLINK("https://i.ytimg.com/vi/tUJiBWWkTxI/default.jpg")</f>
        <v>https://i.ytimg.com/vi/tUJiBWWkTxI/default.jpg</v>
      </c>
      <c r="G397" s="67"/>
      <c r="H397" s="71"/>
      <c r="I397" s="72"/>
      <c r="J397" s="72"/>
      <c r="K397" s="71" t="s">
        <v>1634</v>
      </c>
      <c r="L397" s="75"/>
      <c r="M397" s="76">
        <v>9711.8232421875</v>
      </c>
      <c r="N397" s="76">
        <v>4554.11669921875</v>
      </c>
      <c r="O397" s="77"/>
      <c r="P397" s="78"/>
      <c r="Q397" s="78"/>
      <c r="R397" s="82"/>
      <c r="S397" s="82"/>
      <c r="T397" s="82"/>
      <c r="U397" s="82"/>
      <c r="V397" s="52"/>
      <c r="W397" s="52"/>
      <c r="X397" s="52"/>
      <c r="Y397" s="52"/>
      <c r="Z397" s="51"/>
      <c r="AA397" s="73">
        <v>397</v>
      </c>
      <c r="AB397" s="73"/>
      <c r="AC397" s="74"/>
      <c r="AD397" s="80" t="s">
        <v>1634</v>
      </c>
      <c r="AE397" s="80" t="s">
        <v>2629</v>
      </c>
      <c r="AF397" s="80" t="s">
        <v>3430</v>
      </c>
      <c r="AG397" s="80" t="s">
        <v>4138</v>
      </c>
      <c r="AH397" s="80" t="s">
        <v>4950</v>
      </c>
      <c r="AI397" s="80">
        <v>18780</v>
      </c>
      <c r="AJ397" s="80">
        <v>4</v>
      </c>
      <c r="AK397" s="80">
        <v>121</v>
      </c>
      <c r="AL397" s="80">
        <v>10</v>
      </c>
      <c r="AM397" s="80" t="s">
        <v>5614</v>
      </c>
      <c r="AN397" s="102" t="str">
        <f>HYPERLINK("https://www.youtube.com/watch?v=tUJiBWWkTxI")</f>
        <v>https://www.youtube.com/watch?v=tUJiBWWkTxI</v>
      </c>
      <c r="AO397" s="2"/>
      <c r="AP397" s="3"/>
      <c r="AQ397" s="3"/>
      <c r="AR397" s="3"/>
      <c r="AS397" s="3"/>
    </row>
    <row r="398" spans="1:45" ht="15">
      <c r="A398" s="66" t="s">
        <v>585</v>
      </c>
      <c r="B398" s="67"/>
      <c r="C398" s="67"/>
      <c r="D398" s="68"/>
      <c r="E398" s="70"/>
      <c r="F398" s="100" t="str">
        <f>HYPERLINK("https://i.ytimg.com/vi/MB3L31-MmRg/default.jpg")</f>
        <v>https://i.ytimg.com/vi/MB3L31-MmRg/default.jpg</v>
      </c>
      <c r="G398" s="67"/>
      <c r="H398" s="71"/>
      <c r="I398" s="72"/>
      <c r="J398" s="72"/>
      <c r="K398" s="71" t="s">
        <v>1635</v>
      </c>
      <c r="L398" s="75"/>
      <c r="M398" s="76">
        <v>9753.1025390625</v>
      </c>
      <c r="N398" s="76">
        <v>4528.9990234375</v>
      </c>
      <c r="O398" s="77"/>
      <c r="P398" s="78"/>
      <c r="Q398" s="78"/>
      <c r="R398" s="82"/>
      <c r="S398" s="82"/>
      <c r="T398" s="82"/>
      <c r="U398" s="82"/>
      <c r="V398" s="52"/>
      <c r="W398" s="52"/>
      <c r="X398" s="52"/>
      <c r="Y398" s="52"/>
      <c r="Z398" s="51"/>
      <c r="AA398" s="73">
        <v>398</v>
      </c>
      <c r="AB398" s="73"/>
      <c r="AC398" s="74"/>
      <c r="AD398" s="80" t="s">
        <v>1635</v>
      </c>
      <c r="AE398" s="80" t="s">
        <v>2630</v>
      </c>
      <c r="AF398" s="80" t="s">
        <v>3431</v>
      </c>
      <c r="AG398" s="80" t="s">
        <v>4137</v>
      </c>
      <c r="AH398" s="80" t="s">
        <v>4951</v>
      </c>
      <c r="AI398" s="80">
        <v>894937</v>
      </c>
      <c r="AJ398" s="80">
        <v>785</v>
      </c>
      <c r="AK398" s="80">
        <v>9172</v>
      </c>
      <c r="AL398" s="80">
        <v>311</v>
      </c>
      <c r="AM398" s="80" t="s">
        <v>5614</v>
      </c>
      <c r="AN398" s="102" t="str">
        <f>HYPERLINK("https://www.youtube.com/watch?v=MB3L31-MmRg")</f>
        <v>https://www.youtube.com/watch?v=MB3L31-MmRg</v>
      </c>
      <c r="AO398" s="2"/>
      <c r="AP398" s="3"/>
      <c r="AQ398" s="3"/>
      <c r="AR398" s="3"/>
      <c r="AS398" s="3"/>
    </row>
    <row r="399" spans="1:45" ht="15">
      <c r="A399" s="66" t="s">
        <v>586</v>
      </c>
      <c r="B399" s="67"/>
      <c r="C399" s="67"/>
      <c r="D399" s="68"/>
      <c r="E399" s="70"/>
      <c r="F399" s="100" t="str">
        <f>HYPERLINK("https://i.ytimg.com/vi/FCfsdRhHwC8/default.jpg")</f>
        <v>https://i.ytimg.com/vi/FCfsdRhHwC8/default.jpg</v>
      </c>
      <c r="G399" s="67"/>
      <c r="H399" s="71"/>
      <c r="I399" s="72"/>
      <c r="J399" s="72"/>
      <c r="K399" s="71" t="s">
        <v>1636</v>
      </c>
      <c r="L399" s="75"/>
      <c r="M399" s="76">
        <v>9587.0771484375</v>
      </c>
      <c r="N399" s="76">
        <v>4749.52685546875</v>
      </c>
      <c r="O399" s="77"/>
      <c r="P399" s="78"/>
      <c r="Q399" s="78"/>
      <c r="R399" s="82"/>
      <c r="S399" s="82"/>
      <c r="T399" s="82"/>
      <c r="U399" s="82"/>
      <c r="V399" s="52"/>
      <c r="W399" s="52"/>
      <c r="X399" s="52"/>
      <c r="Y399" s="52"/>
      <c r="Z399" s="51"/>
      <c r="AA399" s="73">
        <v>399</v>
      </c>
      <c r="AB399" s="73"/>
      <c r="AC399" s="74"/>
      <c r="AD399" s="80" t="s">
        <v>1636</v>
      </c>
      <c r="AE399" s="80" t="s">
        <v>2631</v>
      </c>
      <c r="AF399" s="80" t="s">
        <v>3432</v>
      </c>
      <c r="AG399" s="80" t="s">
        <v>4139</v>
      </c>
      <c r="AH399" s="80" t="s">
        <v>4952</v>
      </c>
      <c r="AI399" s="80">
        <v>453031</v>
      </c>
      <c r="AJ399" s="80">
        <v>108</v>
      </c>
      <c r="AK399" s="80">
        <v>2200</v>
      </c>
      <c r="AL399" s="80">
        <v>155</v>
      </c>
      <c r="AM399" s="80" t="s">
        <v>5614</v>
      </c>
      <c r="AN399" s="102" t="str">
        <f>HYPERLINK("https://www.youtube.com/watch?v=FCfsdRhHwC8")</f>
        <v>https://www.youtube.com/watch?v=FCfsdRhHwC8</v>
      </c>
      <c r="AO399" s="2"/>
      <c r="AP399" s="3"/>
      <c r="AQ399" s="3"/>
      <c r="AR399" s="3"/>
      <c r="AS399" s="3"/>
    </row>
    <row r="400" spans="1:45" ht="15">
      <c r="A400" s="66" t="s">
        <v>587</v>
      </c>
      <c r="B400" s="67"/>
      <c r="C400" s="67"/>
      <c r="D400" s="68"/>
      <c r="E400" s="70"/>
      <c r="F400" s="100" t="str">
        <f>HYPERLINK("https://i.ytimg.com/vi/BgJ9AGT11mw/default.jpg")</f>
        <v>https://i.ytimg.com/vi/BgJ9AGT11mw/default.jpg</v>
      </c>
      <c r="G400" s="67"/>
      <c r="H400" s="71"/>
      <c r="I400" s="72"/>
      <c r="J400" s="72"/>
      <c r="K400" s="71" t="s">
        <v>1637</v>
      </c>
      <c r="L400" s="75"/>
      <c r="M400" s="76">
        <v>9396.333984375</v>
      </c>
      <c r="N400" s="76">
        <v>5272.4375</v>
      </c>
      <c r="O400" s="77"/>
      <c r="P400" s="78"/>
      <c r="Q400" s="78"/>
      <c r="R400" s="82"/>
      <c r="S400" s="82"/>
      <c r="T400" s="82"/>
      <c r="U400" s="82"/>
      <c r="V400" s="52"/>
      <c r="W400" s="52"/>
      <c r="X400" s="52"/>
      <c r="Y400" s="52"/>
      <c r="Z400" s="51"/>
      <c r="AA400" s="73">
        <v>400</v>
      </c>
      <c r="AB400" s="73"/>
      <c r="AC400" s="74"/>
      <c r="AD400" s="80" t="s">
        <v>1637</v>
      </c>
      <c r="AE400" s="80" t="s">
        <v>2632</v>
      </c>
      <c r="AF400" s="80" t="s">
        <v>3433</v>
      </c>
      <c r="AG400" s="80" t="s">
        <v>4140</v>
      </c>
      <c r="AH400" s="80" t="s">
        <v>4953</v>
      </c>
      <c r="AI400" s="80">
        <v>239654</v>
      </c>
      <c r="AJ400" s="80">
        <v>72</v>
      </c>
      <c r="AK400" s="80">
        <v>1790</v>
      </c>
      <c r="AL400" s="80">
        <v>119</v>
      </c>
      <c r="AM400" s="80" t="s">
        <v>5614</v>
      </c>
      <c r="AN400" s="102" t="str">
        <f>HYPERLINK("https://www.youtube.com/watch?v=BgJ9AGT11mw")</f>
        <v>https://www.youtube.com/watch?v=BgJ9AGT11mw</v>
      </c>
      <c r="AO400" s="2"/>
      <c r="AP400" s="3"/>
      <c r="AQ400" s="3"/>
      <c r="AR400" s="3"/>
      <c r="AS400" s="3"/>
    </row>
    <row r="401" spans="1:45" ht="15">
      <c r="A401" s="66" t="s">
        <v>588</v>
      </c>
      <c r="B401" s="67"/>
      <c r="C401" s="67"/>
      <c r="D401" s="68"/>
      <c r="E401" s="70"/>
      <c r="F401" s="100" t="str">
        <f>HYPERLINK("https://i.ytimg.com/vi/i2E0M7zt_yc/default.jpg")</f>
        <v>https://i.ytimg.com/vi/i2E0M7zt_yc/default.jpg</v>
      </c>
      <c r="G401" s="67"/>
      <c r="H401" s="71"/>
      <c r="I401" s="72"/>
      <c r="J401" s="72"/>
      <c r="K401" s="71" t="s">
        <v>1638</v>
      </c>
      <c r="L401" s="75"/>
      <c r="M401" s="76">
        <v>9505.5</v>
      </c>
      <c r="N401" s="76">
        <v>5069.03759765625</v>
      </c>
      <c r="O401" s="77"/>
      <c r="P401" s="78"/>
      <c r="Q401" s="78"/>
      <c r="R401" s="82"/>
      <c r="S401" s="82"/>
      <c r="T401" s="82"/>
      <c r="U401" s="82"/>
      <c r="V401" s="52"/>
      <c r="W401" s="52"/>
      <c r="X401" s="52"/>
      <c r="Y401" s="52"/>
      <c r="Z401" s="51"/>
      <c r="AA401" s="73">
        <v>401</v>
      </c>
      <c r="AB401" s="73"/>
      <c r="AC401" s="74"/>
      <c r="AD401" s="80" t="s">
        <v>1638</v>
      </c>
      <c r="AE401" s="80" t="s">
        <v>2633</v>
      </c>
      <c r="AF401" s="80" t="s">
        <v>3434</v>
      </c>
      <c r="AG401" s="80" t="s">
        <v>4141</v>
      </c>
      <c r="AH401" s="80" t="s">
        <v>4954</v>
      </c>
      <c r="AI401" s="80">
        <v>2829014</v>
      </c>
      <c r="AJ401" s="80">
        <v>528</v>
      </c>
      <c r="AK401" s="80">
        <v>8129</v>
      </c>
      <c r="AL401" s="80">
        <v>1928</v>
      </c>
      <c r="AM401" s="80" t="s">
        <v>5614</v>
      </c>
      <c r="AN401" s="102" t="str">
        <f>HYPERLINK("https://www.youtube.com/watch?v=i2E0M7zt_yc")</f>
        <v>https://www.youtube.com/watch?v=i2E0M7zt_yc</v>
      </c>
      <c r="AO401" s="2"/>
      <c r="AP401" s="3"/>
      <c r="AQ401" s="3"/>
      <c r="AR401" s="3"/>
      <c r="AS401" s="3"/>
    </row>
    <row r="402" spans="1:45" ht="15">
      <c r="A402" s="66" t="s">
        <v>589</v>
      </c>
      <c r="B402" s="67"/>
      <c r="C402" s="67"/>
      <c r="D402" s="68"/>
      <c r="E402" s="70"/>
      <c r="F402" s="100" t="str">
        <f>HYPERLINK("https://i.ytimg.com/vi/BrqH4PVyYF4/default.jpg")</f>
        <v>https://i.ytimg.com/vi/BrqH4PVyYF4/default.jpg</v>
      </c>
      <c r="G402" s="67"/>
      <c r="H402" s="71"/>
      <c r="I402" s="72"/>
      <c r="J402" s="72"/>
      <c r="K402" s="71" t="s">
        <v>1639</v>
      </c>
      <c r="L402" s="75"/>
      <c r="M402" s="76">
        <v>9608.7392578125</v>
      </c>
      <c r="N402" s="76">
        <v>5170.37890625</v>
      </c>
      <c r="O402" s="77"/>
      <c r="P402" s="78"/>
      <c r="Q402" s="78"/>
      <c r="R402" s="82"/>
      <c r="S402" s="82"/>
      <c r="T402" s="82"/>
      <c r="U402" s="82"/>
      <c r="V402" s="52"/>
      <c r="W402" s="52"/>
      <c r="X402" s="52"/>
      <c r="Y402" s="52"/>
      <c r="Z402" s="51"/>
      <c r="AA402" s="73">
        <v>402</v>
      </c>
      <c r="AB402" s="73"/>
      <c r="AC402" s="74"/>
      <c r="AD402" s="80" t="s">
        <v>1639</v>
      </c>
      <c r="AE402" s="80" t="s">
        <v>2634</v>
      </c>
      <c r="AF402" s="80" t="s">
        <v>3435</v>
      </c>
      <c r="AG402" s="80" t="s">
        <v>4142</v>
      </c>
      <c r="AH402" s="80" t="s">
        <v>4955</v>
      </c>
      <c r="AI402" s="80">
        <v>729348</v>
      </c>
      <c r="AJ402" s="80">
        <v>251</v>
      </c>
      <c r="AK402" s="80">
        <v>15672</v>
      </c>
      <c r="AL402" s="80">
        <v>228</v>
      </c>
      <c r="AM402" s="80" t="s">
        <v>5614</v>
      </c>
      <c r="AN402" s="102" t="str">
        <f>HYPERLINK("https://www.youtube.com/watch?v=BrqH4PVyYF4")</f>
        <v>https://www.youtube.com/watch?v=BrqH4PVyYF4</v>
      </c>
      <c r="AO402" s="2"/>
      <c r="AP402" s="3"/>
      <c r="AQ402" s="3"/>
      <c r="AR402" s="3"/>
      <c r="AS402" s="3"/>
    </row>
    <row r="403" spans="1:45" ht="15">
      <c r="A403" s="66" t="s">
        <v>590</v>
      </c>
      <c r="B403" s="67"/>
      <c r="C403" s="67"/>
      <c r="D403" s="68"/>
      <c r="E403" s="70"/>
      <c r="F403" s="100" t="str">
        <f>HYPERLINK("https://i.ytimg.com/vi/iA4HMggWSZk/default.jpg")</f>
        <v>https://i.ytimg.com/vi/iA4HMggWSZk/default.jpg</v>
      </c>
      <c r="G403" s="67"/>
      <c r="H403" s="71"/>
      <c r="I403" s="72"/>
      <c r="J403" s="72"/>
      <c r="K403" s="71" t="s">
        <v>1640</v>
      </c>
      <c r="L403" s="75"/>
      <c r="M403" s="76">
        <v>9419.2412109375</v>
      </c>
      <c r="N403" s="76">
        <v>5450.2333984375</v>
      </c>
      <c r="O403" s="77"/>
      <c r="P403" s="78"/>
      <c r="Q403" s="78"/>
      <c r="R403" s="82"/>
      <c r="S403" s="82"/>
      <c r="T403" s="82"/>
      <c r="U403" s="82"/>
      <c r="V403" s="52"/>
      <c r="W403" s="52"/>
      <c r="X403" s="52"/>
      <c r="Y403" s="52"/>
      <c r="Z403" s="51"/>
      <c r="AA403" s="73">
        <v>403</v>
      </c>
      <c r="AB403" s="73"/>
      <c r="AC403" s="74"/>
      <c r="AD403" s="80" t="s">
        <v>1640</v>
      </c>
      <c r="AE403" s="80" t="s">
        <v>2635</v>
      </c>
      <c r="AF403" s="80" t="s">
        <v>3436</v>
      </c>
      <c r="AG403" s="80" t="s">
        <v>4143</v>
      </c>
      <c r="AH403" s="80" t="s">
        <v>4956</v>
      </c>
      <c r="AI403" s="80">
        <v>10102</v>
      </c>
      <c r="AJ403" s="80">
        <v>1</v>
      </c>
      <c r="AK403" s="80">
        <v>59</v>
      </c>
      <c r="AL403" s="80">
        <v>2</v>
      </c>
      <c r="AM403" s="80" t="s">
        <v>5614</v>
      </c>
      <c r="AN403" s="102" t="str">
        <f>HYPERLINK("https://www.youtube.com/watch?v=iA4HMggWSZk")</f>
        <v>https://www.youtube.com/watch?v=iA4HMggWSZk</v>
      </c>
      <c r="AO403" s="2"/>
      <c r="AP403" s="3"/>
      <c r="AQ403" s="3"/>
      <c r="AR403" s="3"/>
      <c r="AS403" s="3"/>
    </row>
    <row r="404" spans="1:45" ht="15">
      <c r="A404" s="66" t="s">
        <v>591</v>
      </c>
      <c r="B404" s="67"/>
      <c r="C404" s="67"/>
      <c r="D404" s="68"/>
      <c r="E404" s="70"/>
      <c r="F404" s="100" t="str">
        <f>HYPERLINK("https://i.ytimg.com/vi/ldWCQPPwReQ/default.jpg")</f>
        <v>https://i.ytimg.com/vi/ldWCQPPwReQ/default.jpg</v>
      </c>
      <c r="G404" s="67"/>
      <c r="H404" s="71"/>
      <c r="I404" s="72"/>
      <c r="J404" s="72"/>
      <c r="K404" s="71" t="s">
        <v>1641</v>
      </c>
      <c r="L404" s="75"/>
      <c r="M404" s="76">
        <v>9727.05859375</v>
      </c>
      <c r="N404" s="76">
        <v>4786.93798828125</v>
      </c>
      <c r="O404" s="77"/>
      <c r="P404" s="78"/>
      <c r="Q404" s="78"/>
      <c r="R404" s="82"/>
      <c r="S404" s="82"/>
      <c r="T404" s="82"/>
      <c r="U404" s="82"/>
      <c r="V404" s="52"/>
      <c r="W404" s="52"/>
      <c r="X404" s="52"/>
      <c r="Y404" s="52"/>
      <c r="Z404" s="51"/>
      <c r="AA404" s="73">
        <v>404</v>
      </c>
      <c r="AB404" s="73"/>
      <c r="AC404" s="74"/>
      <c r="AD404" s="80" t="s">
        <v>1641</v>
      </c>
      <c r="AE404" s="80" t="s">
        <v>2636</v>
      </c>
      <c r="AF404" s="80" t="s">
        <v>3437</v>
      </c>
      <c r="AG404" s="80" t="s">
        <v>4144</v>
      </c>
      <c r="AH404" s="80" t="s">
        <v>4957</v>
      </c>
      <c r="AI404" s="80">
        <v>20148</v>
      </c>
      <c r="AJ404" s="80">
        <v>18</v>
      </c>
      <c r="AK404" s="80">
        <v>203</v>
      </c>
      <c r="AL404" s="80">
        <v>35</v>
      </c>
      <c r="AM404" s="80" t="s">
        <v>5614</v>
      </c>
      <c r="AN404" s="102" t="str">
        <f>HYPERLINK("https://www.youtube.com/watch?v=ldWCQPPwReQ")</f>
        <v>https://www.youtube.com/watch?v=ldWCQPPwReQ</v>
      </c>
      <c r="AO404" s="2"/>
      <c r="AP404" s="3"/>
      <c r="AQ404" s="3"/>
      <c r="AR404" s="3"/>
      <c r="AS404" s="3"/>
    </row>
    <row r="405" spans="1:45" ht="15">
      <c r="A405" s="66" t="s">
        <v>592</v>
      </c>
      <c r="B405" s="67"/>
      <c r="C405" s="67"/>
      <c r="D405" s="68"/>
      <c r="E405" s="70"/>
      <c r="F405" s="100" t="str">
        <f>HYPERLINK("https://i.ytimg.com/vi/0XpelfQFBzw/default.jpg")</f>
        <v>https://i.ytimg.com/vi/0XpelfQFBzw/default.jpg</v>
      </c>
      <c r="G405" s="67"/>
      <c r="H405" s="71"/>
      <c r="I405" s="72"/>
      <c r="J405" s="72"/>
      <c r="K405" s="71" t="s">
        <v>1642</v>
      </c>
      <c r="L405" s="75"/>
      <c r="M405" s="76">
        <v>9762.6826171875</v>
      </c>
      <c r="N405" s="76">
        <v>4550.30810546875</v>
      </c>
      <c r="O405" s="77"/>
      <c r="P405" s="78"/>
      <c r="Q405" s="78"/>
      <c r="R405" s="82"/>
      <c r="S405" s="82"/>
      <c r="T405" s="82"/>
      <c r="U405" s="82"/>
      <c r="V405" s="52"/>
      <c r="W405" s="52"/>
      <c r="X405" s="52"/>
      <c r="Y405" s="52"/>
      <c r="Z405" s="51"/>
      <c r="AA405" s="73">
        <v>405</v>
      </c>
      <c r="AB405" s="73"/>
      <c r="AC405" s="74"/>
      <c r="AD405" s="80" t="s">
        <v>1642</v>
      </c>
      <c r="AE405" s="80" t="s">
        <v>2637</v>
      </c>
      <c r="AF405" s="80" t="s">
        <v>3438</v>
      </c>
      <c r="AG405" s="80" t="s">
        <v>4145</v>
      </c>
      <c r="AH405" s="80" t="s">
        <v>4958</v>
      </c>
      <c r="AI405" s="80">
        <v>774</v>
      </c>
      <c r="AJ405" s="80">
        <v>0</v>
      </c>
      <c r="AK405" s="80">
        <v>4</v>
      </c>
      <c r="AL405" s="80">
        <v>0</v>
      </c>
      <c r="AM405" s="80" t="s">
        <v>5614</v>
      </c>
      <c r="AN405" s="102" t="str">
        <f>HYPERLINK("https://www.youtube.com/watch?v=0XpelfQFBzw")</f>
        <v>https://www.youtube.com/watch?v=0XpelfQFBzw</v>
      </c>
      <c r="AO405" s="2"/>
      <c r="AP405" s="3"/>
      <c r="AQ405" s="3"/>
      <c r="AR405" s="3"/>
      <c r="AS405" s="3"/>
    </row>
    <row r="406" spans="1:45" ht="15">
      <c r="A406" s="66" t="s">
        <v>593</v>
      </c>
      <c r="B406" s="67"/>
      <c r="C406" s="67"/>
      <c r="D406" s="68"/>
      <c r="E406" s="70"/>
      <c r="F406" s="100" t="str">
        <f>HYPERLINK("https://i.ytimg.com/vi/AEiRa5xZaZw/default.jpg")</f>
        <v>https://i.ytimg.com/vi/AEiRa5xZaZw/default.jpg</v>
      </c>
      <c r="G406" s="67"/>
      <c r="H406" s="71"/>
      <c r="I406" s="72"/>
      <c r="J406" s="72"/>
      <c r="K406" s="71" t="s">
        <v>1643</v>
      </c>
      <c r="L406" s="75"/>
      <c r="M406" s="76">
        <v>9321.58203125</v>
      </c>
      <c r="N406" s="76">
        <v>5686.3427734375</v>
      </c>
      <c r="O406" s="77"/>
      <c r="P406" s="78"/>
      <c r="Q406" s="78"/>
      <c r="R406" s="82"/>
      <c r="S406" s="82"/>
      <c r="T406" s="82"/>
      <c r="U406" s="82"/>
      <c r="V406" s="52"/>
      <c r="W406" s="52"/>
      <c r="X406" s="52"/>
      <c r="Y406" s="52"/>
      <c r="Z406" s="51"/>
      <c r="AA406" s="73">
        <v>406</v>
      </c>
      <c r="AB406" s="73"/>
      <c r="AC406" s="74"/>
      <c r="AD406" s="80" t="s">
        <v>1643</v>
      </c>
      <c r="AE406" s="80" t="s">
        <v>2638</v>
      </c>
      <c r="AF406" s="80" t="s">
        <v>3439</v>
      </c>
      <c r="AG406" s="80" t="s">
        <v>4146</v>
      </c>
      <c r="AH406" s="80" t="s">
        <v>4959</v>
      </c>
      <c r="AI406" s="80">
        <v>3645650</v>
      </c>
      <c r="AJ406" s="80">
        <v>3561</v>
      </c>
      <c r="AK406" s="80">
        <v>136816</v>
      </c>
      <c r="AL406" s="80">
        <v>1762</v>
      </c>
      <c r="AM406" s="80" t="s">
        <v>5614</v>
      </c>
      <c r="AN406" s="102" t="str">
        <f>HYPERLINK("https://www.youtube.com/watch?v=AEiRa5xZaZw")</f>
        <v>https://www.youtube.com/watch?v=AEiRa5xZaZw</v>
      </c>
      <c r="AO406" s="2"/>
      <c r="AP406" s="3"/>
      <c r="AQ406" s="3"/>
      <c r="AR406" s="3"/>
      <c r="AS406" s="3"/>
    </row>
    <row r="407" spans="1:45" ht="15">
      <c r="A407" s="66" t="s">
        <v>594</v>
      </c>
      <c r="B407" s="67"/>
      <c r="C407" s="67"/>
      <c r="D407" s="68"/>
      <c r="E407" s="70"/>
      <c r="F407" s="100" t="str">
        <f>HYPERLINK("https://i.ytimg.com/vi/GGQMIHkdtmI/default.jpg")</f>
        <v>https://i.ytimg.com/vi/GGQMIHkdtmI/default.jpg</v>
      </c>
      <c r="G407" s="67"/>
      <c r="H407" s="71"/>
      <c r="I407" s="72"/>
      <c r="J407" s="72"/>
      <c r="K407" s="71" t="s">
        <v>1644</v>
      </c>
      <c r="L407" s="75"/>
      <c r="M407" s="76">
        <v>9312.29296875</v>
      </c>
      <c r="N407" s="76">
        <v>5653.0869140625</v>
      </c>
      <c r="O407" s="77"/>
      <c r="P407" s="78"/>
      <c r="Q407" s="78"/>
      <c r="R407" s="82"/>
      <c r="S407" s="82"/>
      <c r="T407" s="82"/>
      <c r="U407" s="82"/>
      <c r="V407" s="52"/>
      <c r="W407" s="52"/>
      <c r="X407" s="52"/>
      <c r="Y407" s="52"/>
      <c r="Z407" s="51"/>
      <c r="AA407" s="73">
        <v>407</v>
      </c>
      <c r="AB407" s="73"/>
      <c r="AC407" s="74"/>
      <c r="AD407" s="80" t="s">
        <v>1644</v>
      </c>
      <c r="AE407" s="80" t="s">
        <v>2639</v>
      </c>
      <c r="AF407" s="80" t="s">
        <v>3440</v>
      </c>
      <c r="AG407" s="80" t="s">
        <v>4147</v>
      </c>
      <c r="AH407" s="80" t="s">
        <v>4960</v>
      </c>
      <c r="AI407" s="80">
        <v>16462</v>
      </c>
      <c r="AJ407" s="80">
        <v>9</v>
      </c>
      <c r="AK407" s="80">
        <v>231</v>
      </c>
      <c r="AL407" s="80">
        <v>11</v>
      </c>
      <c r="AM407" s="80" t="s">
        <v>5614</v>
      </c>
      <c r="AN407" s="102" t="str">
        <f>HYPERLINK("https://www.youtube.com/watch?v=GGQMIHkdtmI")</f>
        <v>https://www.youtube.com/watch?v=GGQMIHkdtmI</v>
      </c>
      <c r="AO407" s="2"/>
      <c r="AP407" s="3"/>
      <c r="AQ407" s="3"/>
      <c r="AR407" s="3"/>
      <c r="AS407" s="3"/>
    </row>
    <row r="408" spans="1:45" ht="15">
      <c r="A408" s="66" t="s">
        <v>595</v>
      </c>
      <c r="B408" s="67"/>
      <c r="C408" s="67"/>
      <c r="D408" s="68"/>
      <c r="E408" s="70"/>
      <c r="F408" s="100" t="str">
        <f>HYPERLINK("https://i.ytimg.com/vi/vv3b_u56HKw/default.jpg")</f>
        <v>https://i.ytimg.com/vi/vv3b_u56HKw/default.jpg</v>
      </c>
      <c r="G408" s="67"/>
      <c r="H408" s="71"/>
      <c r="I408" s="72"/>
      <c r="J408" s="72"/>
      <c r="K408" s="71" t="s">
        <v>1645</v>
      </c>
      <c r="L408" s="75"/>
      <c r="M408" s="76">
        <v>9481.1416015625</v>
      </c>
      <c r="N408" s="76">
        <v>5262.3994140625</v>
      </c>
      <c r="O408" s="77"/>
      <c r="P408" s="78"/>
      <c r="Q408" s="78"/>
      <c r="R408" s="82"/>
      <c r="S408" s="82"/>
      <c r="T408" s="82"/>
      <c r="U408" s="82"/>
      <c r="V408" s="52"/>
      <c r="W408" s="52"/>
      <c r="X408" s="52"/>
      <c r="Y408" s="52"/>
      <c r="Z408" s="51"/>
      <c r="AA408" s="73">
        <v>408</v>
      </c>
      <c r="AB408" s="73"/>
      <c r="AC408" s="74"/>
      <c r="AD408" s="80" t="s">
        <v>1645</v>
      </c>
      <c r="AE408" s="80" t="s">
        <v>2640</v>
      </c>
      <c r="AF408" s="80" t="s">
        <v>3441</v>
      </c>
      <c r="AG408" s="80" t="s">
        <v>4148</v>
      </c>
      <c r="AH408" s="80" t="s">
        <v>4961</v>
      </c>
      <c r="AI408" s="80">
        <v>69998</v>
      </c>
      <c r="AJ408" s="80">
        <v>26</v>
      </c>
      <c r="AK408" s="80">
        <v>652</v>
      </c>
      <c r="AL408" s="80">
        <v>78</v>
      </c>
      <c r="AM408" s="80" t="s">
        <v>5614</v>
      </c>
      <c r="AN408" s="102" t="str">
        <f>HYPERLINK("https://www.youtube.com/watch?v=vv3b_u56HKw")</f>
        <v>https://www.youtube.com/watch?v=vv3b_u56HKw</v>
      </c>
      <c r="AO408" s="2"/>
      <c r="AP408" s="3"/>
      <c r="AQ408" s="3"/>
      <c r="AR408" s="3"/>
      <c r="AS408" s="3"/>
    </row>
    <row r="409" spans="1:45" ht="15">
      <c r="A409" s="66" t="s">
        <v>596</v>
      </c>
      <c r="B409" s="67"/>
      <c r="C409" s="67"/>
      <c r="D409" s="68"/>
      <c r="E409" s="70"/>
      <c r="F409" s="100" t="str">
        <f>HYPERLINK("https://i.ytimg.com/vi/NBpqx8UwE74/default.jpg")</f>
        <v>https://i.ytimg.com/vi/NBpqx8UwE74/default.jpg</v>
      </c>
      <c r="G409" s="67"/>
      <c r="H409" s="71"/>
      <c r="I409" s="72"/>
      <c r="J409" s="72"/>
      <c r="K409" s="71" t="s">
        <v>1646</v>
      </c>
      <c r="L409" s="75"/>
      <c r="M409" s="76">
        <v>9694.396484375</v>
      </c>
      <c r="N409" s="76">
        <v>4695.74267578125</v>
      </c>
      <c r="O409" s="77"/>
      <c r="P409" s="78"/>
      <c r="Q409" s="78"/>
      <c r="R409" s="82"/>
      <c r="S409" s="82"/>
      <c r="T409" s="82"/>
      <c r="U409" s="82"/>
      <c r="V409" s="52"/>
      <c r="W409" s="52"/>
      <c r="X409" s="52"/>
      <c r="Y409" s="52"/>
      <c r="Z409" s="51"/>
      <c r="AA409" s="73">
        <v>409</v>
      </c>
      <c r="AB409" s="73"/>
      <c r="AC409" s="74"/>
      <c r="AD409" s="80" t="s">
        <v>1646</v>
      </c>
      <c r="AE409" s="80" t="s">
        <v>2641</v>
      </c>
      <c r="AF409" s="80" t="s">
        <v>3442</v>
      </c>
      <c r="AG409" s="80" t="s">
        <v>4149</v>
      </c>
      <c r="AH409" s="80" t="s">
        <v>4962</v>
      </c>
      <c r="AI409" s="80">
        <v>40004</v>
      </c>
      <c r="AJ409" s="80">
        <v>14</v>
      </c>
      <c r="AK409" s="80">
        <v>154</v>
      </c>
      <c r="AL409" s="80">
        <v>18</v>
      </c>
      <c r="AM409" s="80" t="s">
        <v>5614</v>
      </c>
      <c r="AN409" s="102" t="str">
        <f>HYPERLINK("https://www.youtube.com/watch?v=NBpqx8UwE74")</f>
        <v>https://www.youtube.com/watch?v=NBpqx8UwE74</v>
      </c>
      <c r="AO409" s="2"/>
      <c r="AP409" s="3"/>
      <c r="AQ409" s="3"/>
      <c r="AR409" s="3"/>
      <c r="AS409" s="3"/>
    </row>
    <row r="410" spans="1:45" ht="15">
      <c r="A410" s="66" t="s">
        <v>597</v>
      </c>
      <c r="B410" s="67"/>
      <c r="C410" s="67"/>
      <c r="D410" s="68"/>
      <c r="E410" s="70"/>
      <c r="F410" s="100" t="str">
        <f>HYPERLINK("https://i.ytimg.com/vi/n7VFGES718k/default.jpg")</f>
        <v>https://i.ytimg.com/vi/n7VFGES718k/default.jpg</v>
      </c>
      <c r="G410" s="67"/>
      <c r="H410" s="71"/>
      <c r="I410" s="72"/>
      <c r="J410" s="72"/>
      <c r="K410" s="71" t="s">
        <v>1647</v>
      </c>
      <c r="L410" s="75"/>
      <c r="M410" s="76">
        <v>9492.9755859375</v>
      </c>
      <c r="N410" s="76">
        <v>5275.12841796875</v>
      </c>
      <c r="O410" s="77"/>
      <c r="P410" s="78"/>
      <c r="Q410" s="78"/>
      <c r="R410" s="82"/>
      <c r="S410" s="82"/>
      <c r="T410" s="82"/>
      <c r="U410" s="82"/>
      <c r="V410" s="52"/>
      <c r="W410" s="52"/>
      <c r="X410" s="52"/>
      <c r="Y410" s="52"/>
      <c r="Z410" s="51"/>
      <c r="AA410" s="73">
        <v>410</v>
      </c>
      <c r="AB410" s="73"/>
      <c r="AC410" s="74"/>
      <c r="AD410" s="80" t="s">
        <v>1647</v>
      </c>
      <c r="AE410" s="80" t="s">
        <v>2642</v>
      </c>
      <c r="AF410" s="80" t="s">
        <v>3443</v>
      </c>
      <c r="AG410" s="80" t="s">
        <v>4150</v>
      </c>
      <c r="AH410" s="80" t="s">
        <v>4963</v>
      </c>
      <c r="AI410" s="80">
        <v>484467</v>
      </c>
      <c r="AJ410" s="80">
        <v>238</v>
      </c>
      <c r="AK410" s="80">
        <v>6998</v>
      </c>
      <c r="AL410" s="80">
        <v>141</v>
      </c>
      <c r="AM410" s="80" t="s">
        <v>5614</v>
      </c>
      <c r="AN410" s="102" t="str">
        <f>HYPERLINK("https://www.youtube.com/watch?v=n7VFGES718k")</f>
        <v>https://www.youtube.com/watch?v=n7VFGES718k</v>
      </c>
      <c r="AO410" s="2"/>
      <c r="AP410" s="3"/>
      <c r="AQ410" s="3"/>
      <c r="AR410" s="3"/>
      <c r="AS410" s="3"/>
    </row>
    <row r="411" spans="1:45" ht="15">
      <c r="A411" s="66" t="s">
        <v>598</v>
      </c>
      <c r="B411" s="67"/>
      <c r="C411" s="67"/>
      <c r="D411" s="68"/>
      <c r="E411" s="70"/>
      <c r="F411" s="100" t="str">
        <f>HYPERLINK("https://i.ytimg.com/vi/Q3M3LopZCHk/default.jpg")</f>
        <v>https://i.ytimg.com/vi/Q3M3LopZCHk/default.jpg</v>
      </c>
      <c r="G411" s="67"/>
      <c r="H411" s="71"/>
      <c r="I411" s="72"/>
      <c r="J411" s="72"/>
      <c r="K411" s="71" t="s">
        <v>1648</v>
      </c>
      <c r="L411" s="75"/>
      <c r="M411" s="76">
        <v>9655.7294921875</v>
      </c>
      <c r="N411" s="76">
        <v>4967.5595703125</v>
      </c>
      <c r="O411" s="77"/>
      <c r="P411" s="78"/>
      <c r="Q411" s="78"/>
      <c r="R411" s="82"/>
      <c r="S411" s="82"/>
      <c r="T411" s="82"/>
      <c r="U411" s="82"/>
      <c r="V411" s="52"/>
      <c r="W411" s="52"/>
      <c r="X411" s="52"/>
      <c r="Y411" s="52"/>
      <c r="Z411" s="51"/>
      <c r="AA411" s="73">
        <v>411</v>
      </c>
      <c r="AB411" s="73"/>
      <c r="AC411" s="74"/>
      <c r="AD411" s="80" t="s">
        <v>1648</v>
      </c>
      <c r="AE411" s="80" t="s">
        <v>2643</v>
      </c>
      <c r="AF411" s="80" t="s">
        <v>3444</v>
      </c>
      <c r="AG411" s="80" t="s">
        <v>4151</v>
      </c>
      <c r="AH411" s="80" t="s">
        <v>4964</v>
      </c>
      <c r="AI411" s="80">
        <v>96583</v>
      </c>
      <c r="AJ411" s="80">
        <v>6</v>
      </c>
      <c r="AK411" s="80">
        <v>531</v>
      </c>
      <c r="AL411" s="80">
        <v>62</v>
      </c>
      <c r="AM411" s="80" t="s">
        <v>5614</v>
      </c>
      <c r="AN411" s="102" t="str">
        <f>HYPERLINK("https://www.youtube.com/watch?v=Q3M3LopZCHk")</f>
        <v>https://www.youtube.com/watch?v=Q3M3LopZCHk</v>
      </c>
      <c r="AO411" s="2"/>
      <c r="AP411" s="3"/>
      <c r="AQ411" s="3"/>
      <c r="AR411" s="3"/>
      <c r="AS411" s="3"/>
    </row>
    <row r="412" spans="1:45" ht="15">
      <c r="A412" s="66" t="s">
        <v>599</v>
      </c>
      <c r="B412" s="67"/>
      <c r="C412" s="67"/>
      <c r="D412" s="68"/>
      <c r="E412" s="70"/>
      <c r="F412" s="100" t="str">
        <f>HYPERLINK("https://i.ytimg.com/vi/M6L2SZxEbhI/default.jpg")</f>
        <v>https://i.ytimg.com/vi/M6L2SZxEbhI/default.jpg</v>
      </c>
      <c r="G412" s="67"/>
      <c r="H412" s="71"/>
      <c r="I412" s="72"/>
      <c r="J412" s="72"/>
      <c r="K412" s="71" t="s">
        <v>1649</v>
      </c>
      <c r="L412" s="75"/>
      <c r="M412" s="76">
        <v>9414.5986328125</v>
      </c>
      <c r="N412" s="76">
        <v>5526.9091796875</v>
      </c>
      <c r="O412" s="77"/>
      <c r="P412" s="78"/>
      <c r="Q412" s="78"/>
      <c r="R412" s="82"/>
      <c r="S412" s="82"/>
      <c r="T412" s="82"/>
      <c r="U412" s="82"/>
      <c r="V412" s="52"/>
      <c r="W412" s="52"/>
      <c r="X412" s="52"/>
      <c r="Y412" s="52"/>
      <c r="Z412" s="51"/>
      <c r="AA412" s="73">
        <v>412</v>
      </c>
      <c r="AB412" s="73"/>
      <c r="AC412" s="74"/>
      <c r="AD412" s="80" t="s">
        <v>1649</v>
      </c>
      <c r="AE412" s="80" t="s">
        <v>2644</v>
      </c>
      <c r="AF412" s="80"/>
      <c r="AG412" s="80" t="s">
        <v>4152</v>
      </c>
      <c r="AH412" s="80" t="s">
        <v>4965</v>
      </c>
      <c r="AI412" s="80">
        <v>926</v>
      </c>
      <c r="AJ412" s="80">
        <v>5</v>
      </c>
      <c r="AK412" s="80">
        <v>16</v>
      </c>
      <c r="AL412" s="80">
        <v>0</v>
      </c>
      <c r="AM412" s="80" t="s">
        <v>5614</v>
      </c>
      <c r="AN412" s="102" t="str">
        <f>HYPERLINK("https://www.youtube.com/watch?v=M6L2SZxEbhI")</f>
        <v>https://www.youtube.com/watch?v=M6L2SZxEbhI</v>
      </c>
      <c r="AO412" s="2"/>
      <c r="AP412" s="3"/>
      <c r="AQ412" s="3"/>
      <c r="AR412" s="3"/>
      <c r="AS412" s="3"/>
    </row>
    <row r="413" spans="1:45" ht="15">
      <c r="A413" s="66" t="s">
        <v>600</v>
      </c>
      <c r="B413" s="67"/>
      <c r="C413" s="67"/>
      <c r="D413" s="68"/>
      <c r="E413" s="70"/>
      <c r="F413" s="100" t="str">
        <f>HYPERLINK("https://i.ytimg.com/vi/PFW-p-JgFiw/default.jpg")</f>
        <v>https://i.ytimg.com/vi/PFW-p-JgFiw/default.jpg</v>
      </c>
      <c r="G413" s="67"/>
      <c r="H413" s="71"/>
      <c r="I413" s="72"/>
      <c r="J413" s="72"/>
      <c r="K413" s="71" t="s">
        <v>1650</v>
      </c>
      <c r="L413" s="75"/>
      <c r="M413" s="76">
        <v>9495.525390625</v>
      </c>
      <c r="N413" s="76">
        <v>5312.98681640625</v>
      </c>
      <c r="O413" s="77"/>
      <c r="P413" s="78"/>
      <c r="Q413" s="78"/>
      <c r="R413" s="82"/>
      <c r="S413" s="82"/>
      <c r="T413" s="82"/>
      <c r="U413" s="82"/>
      <c r="V413" s="52"/>
      <c r="W413" s="52"/>
      <c r="X413" s="52"/>
      <c r="Y413" s="52"/>
      <c r="Z413" s="51"/>
      <c r="AA413" s="73">
        <v>413</v>
      </c>
      <c r="AB413" s="73"/>
      <c r="AC413" s="74"/>
      <c r="AD413" s="80" t="s">
        <v>1650</v>
      </c>
      <c r="AE413" s="80"/>
      <c r="AF413" s="80"/>
      <c r="AG413" s="80" t="s">
        <v>4153</v>
      </c>
      <c r="AH413" s="80" t="s">
        <v>4966</v>
      </c>
      <c r="AI413" s="80">
        <v>8488</v>
      </c>
      <c r="AJ413" s="80">
        <v>0</v>
      </c>
      <c r="AK413" s="80">
        <v>54</v>
      </c>
      <c r="AL413" s="80">
        <v>1</v>
      </c>
      <c r="AM413" s="80" t="s">
        <v>5614</v>
      </c>
      <c r="AN413" s="102" t="str">
        <f>HYPERLINK("https://www.youtube.com/watch?v=PFW-p-JgFiw")</f>
        <v>https://www.youtube.com/watch?v=PFW-p-JgFiw</v>
      </c>
      <c r="AO413" s="2"/>
      <c r="AP413" s="3"/>
      <c r="AQ413" s="3"/>
      <c r="AR413" s="3"/>
      <c r="AS413" s="3"/>
    </row>
    <row r="414" spans="1:45" ht="15">
      <c r="A414" s="66" t="s">
        <v>601</v>
      </c>
      <c r="B414" s="67"/>
      <c r="C414" s="67"/>
      <c r="D414" s="68"/>
      <c r="E414" s="70"/>
      <c r="F414" s="100" t="str">
        <f>HYPERLINK("https://i.ytimg.com/vi/p5QwHKQy5Sw/default.jpg")</f>
        <v>https://i.ytimg.com/vi/p5QwHKQy5Sw/default.jpg</v>
      </c>
      <c r="G414" s="67"/>
      <c r="H414" s="71"/>
      <c r="I414" s="72"/>
      <c r="J414" s="72"/>
      <c r="K414" s="71" t="s">
        <v>1651</v>
      </c>
      <c r="L414" s="75"/>
      <c r="M414" s="76">
        <v>9354.005859375</v>
      </c>
      <c r="N414" s="76">
        <v>5494.5185546875</v>
      </c>
      <c r="O414" s="77"/>
      <c r="P414" s="78"/>
      <c r="Q414" s="78"/>
      <c r="R414" s="82"/>
      <c r="S414" s="82"/>
      <c r="T414" s="82"/>
      <c r="U414" s="82"/>
      <c r="V414" s="52"/>
      <c r="W414" s="52"/>
      <c r="X414" s="52"/>
      <c r="Y414" s="52"/>
      <c r="Z414" s="51"/>
      <c r="AA414" s="73">
        <v>414</v>
      </c>
      <c r="AB414" s="73"/>
      <c r="AC414" s="74"/>
      <c r="AD414" s="80" t="s">
        <v>1651</v>
      </c>
      <c r="AE414" s="80" t="s">
        <v>2645</v>
      </c>
      <c r="AF414" s="80"/>
      <c r="AG414" s="80" t="s">
        <v>4154</v>
      </c>
      <c r="AH414" s="80" t="s">
        <v>4967</v>
      </c>
      <c r="AI414" s="80">
        <v>3999</v>
      </c>
      <c r="AJ414" s="80">
        <v>3</v>
      </c>
      <c r="AK414" s="80">
        <v>31</v>
      </c>
      <c r="AL414" s="80">
        <v>1</v>
      </c>
      <c r="AM414" s="80" t="s">
        <v>5614</v>
      </c>
      <c r="AN414" s="102" t="str">
        <f>HYPERLINK("https://www.youtube.com/watch?v=p5QwHKQy5Sw")</f>
        <v>https://www.youtube.com/watch?v=p5QwHKQy5Sw</v>
      </c>
      <c r="AO414" s="2"/>
      <c r="AP414" s="3"/>
      <c r="AQ414" s="3"/>
      <c r="AR414" s="3"/>
      <c r="AS414" s="3"/>
    </row>
    <row r="415" spans="1:45" ht="15">
      <c r="A415" s="66" t="s">
        <v>602</v>
      </c>
      <c r="B415" s="67"/>
      <c r="C415" s="67"/>
      <c r="D415" s="68"/>
      <c r="E415" s="70"/>
      <c r="F415" s="100" t="str">
        <f>HYPERLINK("https://i.ytimg.com/vi/dzrGF9xYymI/default.jpg")</f>
        <v>https://i.ytimg.com/vi/dzrGF9xYymI/default.jpg</v>
      </c>
      <c r="G415" s="67"/>
      <c r="H415" s="71"/>
      <c r="I415" s="72"/>
      <c r="J415" s="72"/>
      <c r="K415" s="71" t="s">
        <v>1652</v>
      </c>
      <c r="L415" s="75"/>
      <c r="M415" s="76">
        <v>7403.65234375</v>
      </c>
      <c r="N415" s="76">
        <v>4028.627685546875</v>
      </c>
      <c r="O415" s="77"/>
      <c r="P415" s="78"/>
      <c r="Q415" s="78"/>
      <c r="R415" s="82"/>
      <c r="S415" s="82"/>
      <c r="T415" s="82"/>
      <c r="U415" s="82"/>
      <c r="V415" s="52"/>
      <c r="W415" s="52"/>
      <c r="X415" s="52"/>
      <c r="Y415" s="52"/>
      <c r="Z415" s="51"/>
      <c r="AA415" s="73">
        <v>415</v>
      </c>
      <c r="AB415" s="73"/>
      <c r="AC415" s="74"/>
      <c r="AD415" s="80" t="s">
        <v>1652</v>
      </c>
      <c r="AE415" s="80" t="s">
        <v>2646</v>
      </c>
      <c r="AF415" s="80"/>
      <c r="AG415" s="80" t="s">
        <v>4155</v>
      </c>
      <c r="AH415" s="80" t="s">
        <v>4968</v>
      </c>
      <c r="AI415" s="80">
        <v>5687477</v>
      </c>
      <c r="AJ415" s="80">
        <v>2120</v>
      </c>
      <c r="AK415" s="80">
        <v>76484</v>
      </c>
      <c r="AL415" s="80">
        <v>4392</v>
      </c>
      <c r="AM415" s="80" t="s">
        <v>5614</v>
      </c>
      <c r="AN415" s="102" t="str">
        <f>HYPERLINK("https://www.youtube.com/watch?v=dzrGF9xYymI")</f>
        <v>https://www.youtube.com/watch?v=dzrGF9xYymI</v>
      </c>
      <c r="AO415" s="2"/>
      <c r="AP415" s="3"/>
      <c r="AQ415" s="3"/>
      <c r="AR415" s="3"/>
      <c r="AS415" s="3"/>
    </row>
    <row r="416" spans="1:45" ht="15">
      <c r="A416" s="66" t="s">
        <v>603</v>
      </c>
      <c r="B416" s="67"/>
      <c r="C416" s="67"/>
      <c r="D416" s="68"/>
      <c r="E416" s="70"/>
      <c r="F416" s="100" t="str">
        <f>HYPERLINK("https://i.ytimg.com/vi/4XFpguuH40Q/default.jpg")</f>
        <v>https://i.ytimg.com/vi/4XFpguuH40Q/default.jpg</v>
      </c>
      <c r="G416" s="67"/>
      <c r="H416" s="71"/>
      <c r="I416" s="72"/>
      <c r="J416" s="72"/>
      <c r="K416" s="71" t="s">
        <v>1653</v>
      </c>
      <c r="L416" s="75"/>
      <c r="M416" s="76">
        <v>5820.53662109375</v>
      </c>
      <c r="N416" s="76">
        <v>3495.872802734375</v>
      </c>
      <c r="O416" s="77"/>
      <c r="P416" s="78"/>
      <c r="Q416" s="78"/>
      <c r="R416" s="82"/>
      <c r="S416" s="82"/>
      <c r="T416" s="82"/>
      <c r="U416" s="82"/>
      <c r="V416" s="52"/>
      <c r="W416" s="52"/>
      <c r="X416" s="52"/>
      <c r="Y416" s="52"/>
      <c r="Z416" s="51"/>
      <c r="AA416" s="73">
        <v>416</v>
      </c>
      <c r="AB416" s="73"/>
      <c r="AC416" s="74"/>
      <c r="AD416" s="80" t="s">
        <v>1653</v>
      </c>
      <c r="AE416" s="80" t="s">
        <v>2647</v>
      </c>
      <c r="AF416" s="80" t="s">
        <v>3445</v>
      </c>
      <c r="AG416" s="80" t="s">
        <v>3884</v>
      </c>
      <c r="AH416" s="80" t="s">
        <v>4969</v>
      </c>
      <c r="AI416" s="80">
        <v>99978</v>
      </c>
      <c r="AJ416" s="80">
        <v>65</v>
      </c>
      <c r="AK416" s="80">
        <v>1192</v>
      </c>
      <c r="AL416" s="80">
        <v>30</v>
      </c>
      <c r="AM416" s="80" t="s">
        <v>5614</v>
      </c>
      <c r="AN416" s="102" t="str">
        <f>HYPERLINK("https://www.youtube.com/watch?v=4XFpguuH40Q")</f>
        <v>https://www.youtube.com/watch?v=4XFpguuH40Q</v>
      </c>
      <c r="AO416" s="2"/>
      <c r="AP416" s="3"/>
      <c r="AQ416" s="3"/>
      <c r="AR416" s="3"/>
      <c r="AS416" s="3"/>
    </row>
    <row r="417" spans="1:45" ht="15">
      <c r="A417" s="66" t="s">
        <v>604</v>
      </c>
      <c r="B417" s="67"/>
      <c r="C417" s="67"/>
      <c r="D417" s="68"/>
      <c r="E417" s="70"/>
      <c r="F417" s="100" t="str">
        <f>HYPERLINK("https://i.ytimg.com/vi/4FHWE6QOgQE/default.jpg")</f>
        <v>https://i.ytimg.com/vi/4FHWE6QOgQE/default.jpg</v>
      </c>
      <c r="G417" s="67"/>
      <c r="H417" s="71"/>
      <c r="I417" s="72"/>
      <c r="J417" s="72"/>
      <c r="K417" s="71" t="s">
        <v>1654</v>
      </c>
      <c r="L417" s="75"/>
      <c r="M417" s="76">
        <v>8315.95703125</v>
      </c>
      <c r="N417" s="76">
        <v>5251.7509765625</v>
      </c>
      <c r="O417" s="77"/>
      <c r="P417" s="78"/>
      <c r="Q417" s="78"/>
      <c r="R417" s="82"/>
      <c r="S417" s="82"/>
      <c r="T417" s="82"/>
      <c r="U417" s="82"/>
      <c r="V417" s="52"/>
      <c r="W417" s="52"/>
      <c r="X417" s="52"/>
      <c r="Y417" s="52"/>
      <c r="Z417" s="51"/>
      <c r="AA417" s="73">
        <v>417</v>
      </c>
      <c r="AB417" s="73"/>
      <c r="AC417" s="74"/>
      <c r="AD417" s="80" t="s">
        <v>1654</v>
      </c>
      <c r="AE417" s="80" t="s">
        <v>2648</v>
      </c>
      <c r="AF417" s="80" t="s">
        <v>3446</v>
      </c>
      <c r="AG417" s="80" t="s">
        <v>4156</v>
      </c>
      <c r="AH417" s="80" t="s">
        <v>4970</v>
      </c>
      <c r="AI417" s="80">
        <v>117645</v>
      </c>
      <c r="AJ417" s="80">
        <v>110</v>
      </c>
      <c r="AK417" s="80">
        <v>1431</v>
      </c>
      <c r="AL417" s="80">
        <v>115</v>
      </c>
      <c r="AM417" s="80" t="s">
        <v>5614</v>
      </c>
      <c r="AN417" s="102" t="str">
        <f>HYPERLINK("https://www.youtube.com/watch?v=4FHWE6QOgQE")</f>
        <v>https://www.youtube.com/watch?v=4FHWE6QOgQE</v>
      </c>
      <c r="AO417" s="2"/>
      <c r="AP417" s="3"/>
      <c r="AQ417" s="3"/>
      <c r="AR417" s="3"/>
      <c r="AS417" s="3"/>
    </row>
    <row r="418" spans="1:45" ht="15">
      <c r="A418" s="66" t="s">
        <v>605</v>
      </c>
      <c r="B418" s="67"/>
      <c r="C418" s="67"/>
      <c r="D418" s="68"/>
      <c r="E418" s="70"/>
      <c r="F418" s="100" t="str">
        <f>HYPERLINK("https://i.ytimg.com/vi/0jjumkWX2q4/default.jpg")</f>
        <v>https://i.ytimg.com/vi/0jjumkWX2q4/default.jpg</v>
      </c>
      <c r="G418" s="67"/>
      <c r="H418" s="71"/>
      <c r="I418" s="72"/>
      <c r="J418" s="72"/>
      <c r="K418" s="71" t="s">
        <v>1655</v>
      </c>
      <c r="L418" s="75"/>
      <c r="M418" s="76">
        <v>6213.3994140625</v>
      </c>
      <c r="N418" s="76">
        <v>4602.58203125</v>
      </c>
      <c r="O418" s="77"/>
      <c r="P418" s="78"/>
      <c r="Q418" s="78"/>
      <c r="R418" s="82"/>
      <c r="S418" s="82"/>
      <c r="T418" s="82"/>
      <c r="U418" s="82"/>
      <c r="V418" s="52"/>
      <c r="W418" s="52"/>
      <c r="X418" s="52"/>
      <c r="Y418" s="52"/>
      <c r="Z418" s="51"/>
      <c r="AA418" s="73">
        <v>418</v>
      </c>
      <c r="AB418" s="73"/>
      <c r="AC418" s="74"/>
      <c r="AD418" s="80" t="s">
        <v>1655</v>
      </c>
      <c r="AE418" s="80" t="s">
        <v>2649</v>
      </c>
      <c r="AF418" s="80" t="s">
        <v>3447</v>
      </c>
      <c r="AG418" s="80" t="s">
        <v>4096</v>
      </c>
      <c r="AH418" s="80" t="s">
        <v>4971</v>
      </c>
      <c r="AI418" s="80">
        <v>535644</v>
      </c>
      <c r="AJ418" s="80">
        <v>417</v>
      </c>
      <c r="AK418" s="80">
        <v>6501</v>
      </c>
      <c r="AL418" s="80">
        <v>237</v>
      </c>
      <c r="AM418" s="80" t="s">
        <v>5614</v>
      </c>
      <c r="AN418" s="102" t="str">
        <f>HYPERLINK("https://www.youtube.com/watch?v=0jjumkWX2q4")</f>
        <v>https://www.youtube.com/watch?v=0jjumkWX2q4</v>
      </c>
      <c r="AO418" s="2"/>
      <c r="AP418" s="3"/>
      <c r="AQ418" s="3"/>
      <c r="AR418" s="3"/>
      <c r="AS418" s="3"/>
    </row>
    <row r="419" spans="1:45" ht="15">
      <c r="A419" s="66" t="s">
        <v>606</v>
      </c>
      <c r="B419" s="67"/>
      <c r="C419" s="67"/>
      <c r="D419" s="68"/>
      <c r="E419" s="70"/>
      <c r="F419" s="100" t="str">
        <f>HYPERLINK("https://i.ytimg.com/vi/yvXJJX1Jaow/default.jpg")</f>
        <v>https://i.ytimg.com/vi/yvXJJX1Jaow/default.jpg</v>
      </c>
      <c r="G419" s="67"/>
      <c r="H419" s="71"/>
      <c r="I419" s="72"/>
      <c r="J419" s="72"/>
      <c r="K419" s="71" t="s">
        <v>1656</v>
      </c>
      <c r="L419" s="75"/>
      <c r="M419" s="76">
        <v>7655.42041015625</v>
      </c>
      <c r="N419" s="76">
        <v>3235.6162109375</v>
      </c>
      <c r="O419" s="77"/>
      <c r="P419" s="78"/>
      <c r="Q419" s="78"/>
      <c r="R419" s="82"/>
      <c r="S419" s="82"/>
      <c r="T419" s="82"/>
      <c r="U419" s="82"/>
      <c r="V419" s="52"/>
      <c r="W419" s="52"/>
      <c r="X419" s="52"/>
      <c r="Y419" s="52"/>
      <c r="Z419" s="51"/>
      <c r="AA419" s="73">
        <v>419</v>
      </c>
      <c r="AB419" s="73"/>
      <c r="AC419" s="74"/>
      <c r="AD419" s="80" t="s">
        <v>1656</v>
      </c>
      <c r="AE419" s="80" t="s">
        <v>2650</v>
      </c>
      <c r="AF419" s="80" t="s">
        <v>3448</v>
      </c>
      <c r="AG419" s="80" t="s">
        <v>4157</v>
      </c>
      <c r="AH419" s="80" t="s">
        <v>4972</v>
      </c>
      <c r="AI419" s="80">
        <v>65392</v>
      </c>
      <c r="AJ419" s="80">
        <v>2</v>
      </c>
      <c r="AK419" s="80">
        <v>635</v>
      </c>
      <c r="AL419" s="80">
        <v>14</v>
      </c>
      <c r="AM419" s="80" t="s">
        <v>5614</v>
      </c>
      <c r="AN419" s="102" t="str">
        <f>HYPERLINK("https://www.youtube.com/watch?v=yvXJJX1Jaow")</f>
        <v>https://www.youtube.com/watch?v=yvXJJX1Jaow</v>
      </c>
      <c r="AO419" s="2"/>
      <c r="AP419" s="3"/>
      <c r="AQ419" s="3"/>
      <c r="AR419" s="3"/>
      <c r="AS419" s="3"/>
    </row>
    <row r="420" spans="1:45" ht="15">
      <c r="A420" s="66" t="s">
        <v>607</v>
      </c>
      <c r="B420" s="67"/>
      <c r="C420" s="67"/>
      <c r="D420" s="68"/>
      <c r="E420" s="70"/>
      <c r="F420" s="100" t="str">
        <f>HYPERLINK("https://i.ytimg.com/vi/gk8Q6R_pFLI/default.jpg")</f>
        <v>https://i.ytimg.com/vi/gk8Q6R_pFLI/default.jpg</v>
      </c>
      <c r="G420" s="67"/>
      <c r="H420" s="71"/>
      <c r="I420" s="72"/>
      <c r="J420" s="72"/>
      <c r="K420" s="71" t="s">
        <v>1657</v>
      </c>
      <c r="L420" s="75"/>
      <c r="M420" s="76">
        <v>8148.56689453125</v>
      </c>
      <c r="N420" s="76">
        <v>6056.759765625</v>
      </c>
      <c r="O420" s="77"/>
      <c r="P420" s="78"/>
      <c r="Q420" s="78"/>
      <c r="R420" s="82"/>
      <c r="S420" s="82"/>
      <c r="T420" s="82"/>
      <c r="U420" s="82"/>
      <c r="V420" s="52"/>
      <c r="W420" s="52"/>
      <c r="X420" s="52"/>
      <c r="Y420" s="52"/>
      <c r="Z420" s="51"/>
      <c r="AA420" s="73">
        <v>420</v>
      </c>
      <c r="AB420" s="73"/>
      <c r="AC420" s="74"/>
      <c r="AD420" s="80" t="s">
        <v>1657</v>
      </c>
      <c r="AE420" s="80" t="s">
        <v>2651</v>
      </c>
      <c r="AF420" s="80" t="s">
        <v>3449</v>
      </c>
      <c r="AG420" s="80" t="s">
        <v>3877</v>
      </c>
      <c r="AH420" s="80" t="s">
        <v>4973</v>
      </c>
      <c r="AI420" s="80">
        <v>106987</v>
      </c>
      <c r="AJ420" s="80">
        <v>8</v>
      </c>
      <c r="AK420" s="80">
        <v>503</v>
      </c>
      <c r="AL420" s="80">
        <v>19</v>
      </c>
      <c r="AM420" s="80" t="s">
        <v>5614</v>
      </c>
      <c r="AN420" s="102" t="str">
        <f>HYPERLINK("https://www.youtube.com/watch?v=gk8Q6R_pFLI")</f>
        <v>https://www.youtube.com/watch?v=gk8Q6R_pFLI</v>
      </c>
      <c r="AO420" s="2"/>
      <c r="AP420" s="3"/>
      <c r="AQ420" s="3"/>
      <c r="AR420" s="3"/>
      <c r="AS420" s="3"/>
    </row>
    <row r="421" spans="1:45" ht="15">
      <c r="A421" s="66" t="s">
        <v>198</v>
      </c>
      <c r="B421" s="67"/>
      <c r="C421" s="67"/>
      <c r="D421" s="68"/>
      <c r="E421" s="70"/>
      <c r="F421" s="100" t="str">
        <f>HYPERLINK("https://i.ytimg.com/vi/vosLDflCNMY/default.jpg")</f>
        <v>https://i.ytimg.com/vi/vosLDflCNMY/default.jpg</v>
      </c>
      <c r="G421" s="67"/>
      <c r="H421" s="71"/>
      <c r="I421" s="72"/>
      <c r="J421" s="72"/>
      <c r="K421" s="71" t="s">
        <v>1300</v>
      </c>
      <c r="L421" s="75"/>
      <c r="M421" s="76">
        <v>5708.43017578125</v>
      </c>
      <c r="N421" s="76">
        <v>7803.34814453125</v>
      </c>
      <c r="O421" s="77"/>
      <c r="P421" s="78"/>
      <c r="Q421" s="78"/>
      <c r="R421" s="82"/>
      <c r="S421" s="82"/>
      <c r="T421" s="82"/>
      <c r="U421" s="82"/>
      <c r="V421" s="52"/>
      <c r="W421" s="52"/>
      <c r="X421" s="52"/>
      <c r="Y421" s="52"/>
      <c r="Z421" s="51"/>
      <c r="AA421" s="73">
        <v>421</v>
      </c>
      <c r="AB421" s="73"/>
      <c r="AC421" s="74"/>
      <c r="AD421" s="80" t="s">
        <v>1300</v>
      </c>
      <c r="AE421" s="80"/>
      <c r="AF421" s="80" t="s">
        <v>3450</v>
      </c>
      <c r="AG421" s="80" t="s">
        <v>4158</v>
      </c>
      <c r="AH421" s="80" t="s">
        <v>4974</v>
      </c>
      <c r="AI421" s="80">
        <v>20</v>
      </c>
      <c r="AJ421" s="80">
        <v>0</v>
      </c>
      <c r="AK421" s="80">
        <v>0</v>
      </c>
      <c r="AL421" s="80">
        <v>0</v>
      </c>
      <c r="AM421" s="80" t="s">
        <v>5614</v>
      </c>
      <c r="AN421" s="102" t="str">
        <f>HYPERLINK("https://www.youtube.com/watch?v=vosLDflCNMY")</f>
        <v>https://www.youtube.com/watch?v=vosLDflCNMY</v>
      </c>
      <c r="AO421" s="2"/>
      <c r="AP421" s="3"/>
      <c r="AQ421" s="3"/>
      <c r="AR421" s="3"/>
      <c r="AS421" s="3"/>
    </row>
    <row r="422" spans="1:45" ht="15">
      <c r="A422" s="66" t="s">
        <v>608</v>
      </c>
      <c r="B422" s="67"/>
      <c r="C422" s="67"/>
      <c r="D422" s="68"/>
      <c r="E422" s="70"/>
      <c r="F422" s="100" t="str">
        <f>HYPERLINK("https://i.ytimg.com/vi/uMYnbFRgJaE/default.jpg")</f>
        <v>https://i.ytimg.com/vi/uMYnbFRgJaE/default.jpg</v>
      </c>
      <c r="G422" s="67"/>
      <c r="H422" s="71"/>
      <c r="I422" s="72"/>
      <c r="J422" s="72"/>
      <c r="K422" s="71" t="s">
        <v>1658</v>
      </c>
      <c r="L422" s="75"/>
      <c r="M422" s="76">
        <v>6117.0888671875</v>
      </c>
      <c r="N422" s="76">
        <v>5673.630859375</v>
      </c>
      <c r="O422" s="77"/>
      <c r="P422" s="78"/>
      <c r="Q422" s="78"/>
      <c r="R422" s="82"/>
      <c r="S422" s="82"/>
      <c r="T422" s="82"/>
      <c r="U422" s="82"/>
      <c r="V422" s="52"/>
      <c r="W422" s="52"/>
      <c r="X422" s="52"/>
      <c r="Y422" s="52"/>
      <c r="Z422" s="51"/>
      <c r="AA422" s="73">
        <v>422</v>
      </c>
      <c r="AB422" s="73"/>
      <c r="AC422" s="74"/>
      <c r="AD422" s="80" t="s">
        <v>1658</v>
      </c>
      <c r="AE422" s="80" t="s">
        <v>2652</v>
      </c>
      <c r="AF422" s="80" t="s">
        <v>3451</v>
      </c>
      <c r="AG422" s="80" t="s">
        <v>4159</v>
      </c>
      <c r="AH422" s="80" t="s">
        <v>4975</v>
      </c>
      <c r="AI422" s="80">
        <v>586</v>
      </c>
      <c r="AJ422" s="80">
        <v>0</v>
      </c>
      <c r="AK422" s="80">
        <v>8</v>
      </c>
      <c r="AL422" s="80">
        <v>1</v>
      </c>
      <c r="AM422" s="80" t="s">
        <v>5614</v>
      </c>
      <c r="AN422" s="102" t="str">
        <f>HYPERLINK("https://www.youtube.com/watch?v=uMYnbFRgJaE")</f>
        <v>https://www.youtube.com/watch?v=uMYnbFRgJaE</v>
      </c>
      <c r="AO422" s="2"/>
      <c r="AP422" s="3"/>
      <c r="AQ422" s="3"/>
      <c r="AR422" s="3"/>
      <c r="AS422" s="3"/>
    </row>
    <row r="423" spans="1:45" ht="15">
      <c r="A423" s="66" t="s">
        <v>199</v>
      </c>
      <c r="B423" s="67"/>
      <c r="C423" s="67"/>
      <c r="D423" s="68"/>
      <c r="E423" s="70"/>
      <c r="F423" s="100" t="str">
        <f>HYPERLINK("https://i.ytimg.com/vi/H6B6qNuVhUU/default.jpg")</f>
        <v>https://i.ytimg.com/vi/H6B6qNuVhUU/default.jpg</v>
      </c>
      <c r="G423" s="67"/>
      <c r="H423" s="71"/>
      <c r="I423" s="72"/>
      <c r="J423" s="72"/>
      <c r="K423" s="71" t="s">
        <v>1659</v>
      </c>
      <c r="L423" s="75"/>
      <c r="M423" s="76">
        <v>5242.6201171875</v>
      </c>
      <c r="N423" s="76">
        <v>3961.626708984375</v>
      </c>
      <c r="O423" s="77"/>
      <c r="P423" s="78"/>
      <c r="Q423" s="78"/>
      <c r="R423" s="82"/>
      <c r="S423" s="82"/>
      <c r="T423" s="82"/>
      <c r="U423" s="82"/>
      <c r="V423" s="52"/>
      <c r="W423" s="52"/>
      <c r="X423" s="52"/>
      <c r="Y423" s="52"/>
      <c r="Z423" s="51"/>
      <c r="AA423" s="73">
        <v>423</v>
      </c>
      <c r="AB423" s="73"/>
      <c r="AC423" s="74"/>
      <c r="AD423" s="80" t="s">
        <v>1659</v>
      </c>
      <c r="AE423" s="80"/>
      <c r="AF423" s="80"/>
      <c r="AG423" s="80" t="s">
        <v>4160</v>
      </c>
      <c r="AH423" s="80" t="s">
        <v>4976</v>
      </c>
      <c r="AI423" s="80">
        <v>48</v>
      </c>
      <c r="AJ423" s="80">
        <v>0</v>
      </c>
      <c r="AK423" s="80">
        <v>0</v>
      </c>
      <c r="AL423" s="80">
        <v>0</v>
      </c>
      <c r="AM423" s="80" t="s">
        <v>5614</v>
      </c>
      <c r="AN423" s="102" t="str">
        <f>HYPERLINK("https://www.youtube.com/watch?v=H6B6qNuVhUU")</f>
        <v>https://www.youtube.com/watch?v=H6B6qNuVhUU</v>
      </c>
      <c r="AO423" s="2"/>
      <c r="AP423" s="3"/>
      <c r="AQ423" s="3"/>
      <c r="AR423" s="3"/>
      <c r="AS423" s="3"/>
    </row>
    <row r="424" spans="1:45" ht="15">
      <c r="A424" s="66" t="s">
        <v>609</v>
      </c>
      <c r="B424" s="67"/>
      <c r="C424" s="67"/>
      <c r="D424" s="68"/>
      <c r="E424" s="70"/>
      <c r="F424" s="100" t="str">
        <f>HYPERLINK("https://i.ytimg.com/vi/5PJeCbZrPpw/default.jpg")</f>
        <v>https://i.ytimg.com/vi/5PJeCbZrPpw/default.jpg</v>
      </c>
      <c r="G424" s="67"/>
      <c r="H424" s="71"/>
      <c r="I424" s="72"/>
      <c r="J424" s="72"/>
      <c r="K424" s="71" t="s">
        <v>1660</v>
      </c>
      <c r="L424" s="75"/>
      <c r="M424" s="76">
        <v>5851.126953125</v>
      </c>
      <c r="N424" s="76">
        <v>3856.8037109375</v>
      </c>
      <c r="O424" s="77"/>
      <c r="P424" s="78"/>
      <c r="Q424" s="78"/>
      <c r="R424" s="82"/>
      <c r="S424" s="82"/>
      <c r="T424" s="82"/>
      <c r="U424" s="82"/>
      <c r="V424" s="52"/>
      <c r="W424" s="52"/>
      <c r="X424" s="52"/>
      <c r="Y424" s="52"/>
      <c r="Z424" s="51"/>
      <c r="AA424" s="73">
        <v>424</v>
      </c>
      <c r="AB424" s="73"/>
      <c r="AC424" s="74"/>
      <c r="AD424" s="80" t="s">
        <v>1660</v>
      </c>
      <c r="AE424" s="80" t="s">
        <v>2653</v>
      </c>
      <c r="AF424" s="80"/>
      <c r="AG424" s="80" t="s">
        <v>4161</v>
      </c>
      <c r="AH424" s="80" t="s">
        <v>4977</v>
      </c>
      <c r="AI424" s="80">
        <v>16499</v>
      </c>
      <c r="AJ424" s="80">
        <v>0</v>
      </c>
      <c r="AK424" s="80">
        <v>93</v>
      </c>
      <c r="AL424" s="80">
        <v>23</v>
      </c>
      <c r="AM424" s="80" t="s">
        <v>5614</v>
      </c>
      <c r="AN424" s="102" t="str">
        <f>HYPERLINK("https://www.youtube.com/watch?v=5PJeCbZrPpw")</f>
        <v>https://www.youtube.com/watch?v=5PJeCbZrPpw</v>
      </c>
      <c r="AO424" s="2"/>
      <c r="AP424" s="3"/>
      <c r="AQ424" s="3"/>
      <c r="AR424" s="3"/>
      <c r="AS424" s="3"/>
    </row>
    <row r="425" spans="1:45" ht="15">
      <c r="A425" s="66" t="s">
        <v>610</v>
      </c>
      <c r="B425" s="67"/>
      <c r="C425" s="67"/>
      <c r="D425" s="68"/>
      <c r="E425" s="70"/>
      <c r="F425" s="100" t="str">
        <f>HYPERLINK("https://i.ytimg.com/vi/oOMS37iXcjA/default.jpg")</f>
        <v>https://i.ytimg.com/vi/oOMS37iXcjA/default.jpg</v>
      </c>
      <c r="G425" s="67"/>
      <c r="H425" s="71"/>
      <c r="I425" s="72"/>
      <c r="J425" s="72"/>
      <c r="K425" s="71" t="s">
        <v>1661</v>
      </c>
      <c r="L425" s="75"/>
      <c r="M425" s="76">
        <v>2634.77685546875</v>
      </c>
      <c r="N425" s="76">
        <v>5827.19091796875</v>
      </c>
      <c r="O425" s="77"/>
      <c r="P425" s="78"/>
      <c r="Q425" s="78"/>
      <c r="R425" s="82"/>
      <c r="S425" s="82"/>
      <c r="T425" s="82"/>
      <c r="U425" s="82"/>
      <c r="V425" s="52"/>
      <c r="W425" s="52"/>
      <c r="X425" s="52"/>
      <c r="Y425" s="52"/>
      <c r="Z425" s="51"/>
      <c r="AA425" s="73">
        <v>425</v>
      </c>
      <c r="AB425" s="73"/>
      <c r="AC425" s="74"/>
      <c r="AD425" s="80" t="s">
        <v>1661</v>
      </c>
      <c r="AE425" s="80" t="s">
        <v>2654</v>
      </c>
      <c r="AF425" s="80" t="s">
        <v>3452</v>
      </c>
      <c r="AG425" s="80" t="s">
        <v>4162</v>
      </c>
      <c r="AH425" s="80" t="s">
        <v>4978</v>
      </c>
      <c r="AI425" s="80">
        <v>3152</v>
      </c>
      <c r="AJ425" s="80">
        <v>0</v>
      </c>
      <c r="AK425" s="80">
        <v>28</v>
      </c>
      <c r="AL425" s="80">
        <v>1</v>
      </c>
      <c r="AM425" s="80" t="s">
        <v>5614</v>
      </c>
      <c r="AN425" s="102" t="str">
        <f>HYPERLINK("https://www.youtube.com/watch?v=oOMS37iXcjA")</f>
        <v>https://www.youtube.com/watch?v=oOMS37iXcjA</v>
      </c>
      <c r="AO425" s="2"/>
      <c r="AP425" s="3"/>
      <c r="AQ425" s="3"/>
      <c r="AR425" s="3"/>
      <c r="AS425" s="3"/>
    </row>
    <row r="426" spans="1:45" ht="15">
      <c r="A426" s="66" t="s">
        <v>611</v>
      </c>
      <c r="B426" s="67"/>
      <c r="C426" s="67"/>
      <c r="D426" s="68"/>
      <c r="E426" s="70"/>
      <c r="F426" s="100" t="str">
        <f>HYPERLINK("https://i.ytimg.com/vi/Q0fV5IGH0s4/default.jpg")</f>
        <v>https://i.ytimg.com/vi/Q0fV5IGH0s4/default.jpg</v>
      </c>
      <c r="G426" s="67"/>
      <c r="H426" s="71"/>
      <c r="I426" s="72"/>
      <c r="J426" s="72"/>
      <c r="K426" s="71" t="s">
        <v>1662</v>
      </c>
      <c r="L426" s="75"/>
      <c r="M426" s="76">
        <v>7142.84423828125</v>
      </c>
      <c r="N426" s="76">
        <v>5784.2802734375</v>
      </c>
      <c r="O426" s="77"/>
      <c r="P426" s="78"/>
      <c r="Q426" s="78"/>
      <c r="R426" s="82"/>
      <c r="S426" s="82"/>
      <c r="T426" s="82"/>
      <c r="U426" s="82"/>
      <c r="V426" s="52"/>
      <c r="W426" s="52"/>
      <c r="X426" s="52"/>
      <c r="Y426" s="52"/>
      <c r="Z426" s="51"/>
      <c r="AA426" s="73">
        <v>426</v>
      </c>
      <c r="AB426" s="73"/>
      <c r="AC426" s="74"/>
      <c r="AD426" s="80" t="s">
        <v>1662</v>
      </c>
      <c r="AE426" s="80" t="s">
        <v>2655</v>
      </c>
      <c r="AF426" s="80" t="s">
        <v>3453</v>
      </c>
      <c r="AG426" s="80" t="s">
        <v>4163</v>
      </c>
      <c r="AH426" s="80" t="s">
        <v>4979</v>
      </c>
      <c r="AI426" s="80">
        <v>10594</v>
      </c>
      <c r="AJ426" s="80">
        <v>0</v>
      </c>
      <c r="AK426" s="80">
        <v>25</v>
      </c>
      <c r="AL426" s="80">
        <v>9</v>
      </c>
      <c r="AM426" s="80" t="s">
        <v>5614</v>
      </c>
      <c r="AN426" s="102" t="str">
        <f>HYPERLINK("https://www.youtube.com/watch?v=Q0fV5IGH0s4")</f>
        <v>https://www.youtube.com/watch?v=Q0fV5IGH0s4</v>
      </c>
      <c r="AO426" s="2"/>
      <c r="AP426" s="3"/>
      <c r="AQ426" s="3"/>
      <c r="AR426" s="3"/>
      <c r="AS426" s="3"/>
    </row>
    <row r="427" spans="1:45" ht="15">
      <c r="A427" s="66" t="s">
        <v>612</v>
      </c>
      <c r="B427" s="67"/>
      <c r="C427" s="67"/>
      <c r="D427" s="68"/>
      <c r="E427" s="70"/>
      <c r="F427" s="100" t="str">
        <f>HYPERLINK("https://i.ytimg.com/vi/RpBe5yxN2yw/default.jpg")</f>
        <v>https://i.ytimg.com/vi/RpBe5yxN2yw/default.jpg</v>
      </c>
      <c r="G427" s="67"/>
      <c r="H427" s="71"/>
      <c r="I427" s="72"/>
      <c r="J427" s="72"/>
      <c r="K427" s="71" t="s">
        <v>1663</v>
      </c>
      <c r="L427" s="75"/>
      <c r="M427" s="76">
        <v>4073.273193359375</v>
      </c>
      <c r="N427" s="76">
        <v>4239.5068359375</v>
      </c>
      <c r="O427" s="77"/>
      <c r="P427" s="78"/>
      <c r="Q427" s="78"/>
      <c r="R427" s="82"/>
      <c r="S427" s="82"/>
      <c r="T427" s="82"/>
      <c r="U427" s="82"/>
      <c r="V427" s="52"/>
      <c r="W427" s="52"/>
      <c r="X427" s="52"/>
      <c r="Y427" s="52"/>
      <c r="Z427" s="51"/>
      <c r="AA427" s="73">
        <v>427</v>
      </c>
      <c r="AB427" s="73"/>
      <c r="AC427" s="74"/>
      <c r="AD427" s="80" t="s">
        <v>1663</v>
      </c>
      <c r="AE427" s="80" t="s">
        <v>2656</v>
      </c>
      <c r="AF427" s="80" t="s">
        <v>3454</v>
      </c>
      <c r="AG427" s="80" t="s">
        <v>4164</v>
      </c>
      <c r="AH427" s="80" t="s">
        <v>4980</v>
      </c>
      <c r="AI427" s="80">
        <v>1894339</v>
      </c>
      <c r="AJ427" s="80">
        <v>2028</v>
      </c>
      <c r="AK427" s="80">
        <v>18988</v>
      </c>
      <c r="AL427" s="80">
        <v>3931</v>
      </c>
      <c r="AM427" s="80" t="s">
        <v>5614</v>
      </c>
      <c r="AN427" s="102" t="str">
        <f>HYPERLINK("https://www.youtube.com/watch?v=RpBe5yxN2yw")</f>
        <v>https://www.youtube.com/watch?v=RpBe5yxN2yw</v>
      </c>
      <c r="AO427" s="2"/>
      <c r="AP427" s="3"/>
      <c r="AQ427" s="3"/>
      <c r="AR427" s="3"/>
      <c r="AS427" s="3"/>
    </row>
    <row r="428" spans="1:45" ht="15">
      <c r="A428" s="66" t="s">
        <v>613</v>
      </c>
      <c r="B428" s="67"/>
      <c r="C428" s="67"/>
      <c r="D428" s="68"/>
      <c r="E428" s="70"/>
      <c r="F428" s="100" t="str">
        <f>HYPERLINK("https://i.ytimg.com/vi/ZxphDRif3yw/default.jpg")</f>
        <v>https://i.ytimg.com/vi/ZxphDRif3yw/default.jpg</v>
      </c>
      <c r="G428" s="67"/>
      <c r="H428" s="71"/>
      <c r="I428" s="72"/>
      <c r="J428" s="72"/>
      <c r="K428" s="71" t="s">
        <v>1300</v>
      </c>
      <c r="L428" s="75"/>
      <c r="M428" s="76">
        <v>3185.5625</v>
      </c>
      <c r="N428" s="76">
        <v>4815.84423828125</v>
      </c>
      <c r="O428" s="77"/>
      <c r="P428" s="78"/>
      <c r="Q428" s="78"/>
      <c r="R428" s="82"/>
      <c r="S428" s="82"/>
      <c r="T428" s="82"/>
      <c r="U428" s="82"/>
      <c r="V428" s="52"/>
      <c r="W428" s="52"/>
      <c r="X428" s="52"/>
      <c r="Y428" s="52"/>
      <c r="Z428" s="51"/>
      <c r="AA428" s="73">
        <v>428</v>
      </c>
      <c r="AB428" s="73"/>
      <c r="AC428" s="74"/>
      <c r="AD428" s="80" t="s">
        <v>1300</v>
      </c>
      <c r="AE428" s="80" t="s">
        <v>2657</v>
      </c>
      <c r="AF428" s="80" t="s">
        <v>3455</v>
      </c>
      <c r="AG428" s="80" t="s">
        <v>4165</v>
      </c>
      <c r="AH428" s="80" t="s">
        <v>4981</v>
      </c>
      <c r="AI428" s="80">
        <v>715</v>
      </c>
      <c r="AJ428" s="80">
        <v>0</v>
      </c>
      <c r="AK428" s="80">
        <v>6</v>
      </c>
      <c r="AL428" s="80">
        <v>1</v>
      </c>
      <c r="AM428" s="80" t="s">
        <v>5614</v>
      </c>
      <c r="AN428" s="102" t="str">
        <f>HYPERLINK("https://www.youtube.com/watch?v=ZxphDRif3yw")</f>
        <v>https://www.youtube.com/watch?v=ZxphDRif3yw</v>
      </c>
      <c r="AO428" s="2"/>
      <c r="AP428" s="3"/>
      <c r="AQ428" s="3"/>
      <c r="AR428" s="3"/>
      <c r="AS428" s="3"/>
    </row>
    <row r="429" spans="1:45" ht="15">
      <c r="A429" s="66" t="s">
        <v>614</v>
      </c>
      <c r="B429" s="67"/>
      <c r="C429" s="67"/>
      <c r="D429" s="68"/>
      <c r="E429" s="70"/>
      <c r="F429" s="100" t="str">
        <f>HYPERLINK("https://i.ytimg.com/vi/kjC6dDKqsJE/default.jpg")</f>
        <v>https://i.ytimg.com/vi/kjC6dDKqsJE/default.jpg</v>
      </c>
      <c r="G429" s="67"/>
      <c r="H429" s="71"/>
      <c r="I429" s="72"/>
      <c r="J429" s="72"/>
      <c r="K429" s="71" t="s">
        <v>1664</v>
      </c>
      <c r="L429" s="75"/>
      <c r="M429" s="76">
        <v>2938.9951171875</v>
      </c>
      <c r="N429" s="76">
        <v>1735.5611572265625</v>
      </c>
      <c r="O429" s="77"/>
      <c r="P429" s="78"/>
      <c r="Q429" s="78"/>
      <c r="R429" s="82"/>
      <c r="S429" s="82"/>
      <c r="T429" s="82"/>
      <c r="U429" s="82"/>
      <c r="V429" s="52"/>
      <c r="W429" s="52"/>
      <c r="X429" s="52"/>
      <c r="Y429" s="52"/>
      <c r="Z429" s="51"/>
      <c r="AA429" s="73">
        <v>429</v>
      </c>
      <c r="AB429" s="73"/>
      <c r="AC429" s="74"/>
      <c r="AD429" s="80" t="s">
        <v>1664</v>
      </c>
      <c r="AE429" s="80" t="s">
        <v>2614</v>
      </c>
      <c r="AF429" s="80" t="s">
        <v>3230</v>
      </c>
      <c r="AG429" s="80" t="s">
        <v>4166</v>
      </c>
      <c r="AH429" s="80" t="s">
        <v>4982</v>
      </c>
      <c r="AI429" s="80">
        <v>2641</v>
      </c>
      <c r="AJ429" s="80">
        <v>0</v>
      </c>
      <c r="AK429" s="80">
        <v>29</v>
      </c>
      <c r="AL429" s="80">
        <v>2</v>
      </c>
      <c r="AM429" s="80" t="s">
        <v>5614</v>
      </c>
      <c r="AN429" s="102" t="str">
        <f>HYPERLINK("https://www.youtube.com/watch?v=kjC6dDKqsJE")</f>
        <v>https://www.youtube.com/watch?v=kjC6dDKqsJE</v>
      </c>
      <c r="AO429" s="2"/>
      <c r="AP429" s="3"/>
      <c r="AQ429" s="3"/>
      <c r="AR429" s="3"/>
      <c r="AS429" s="3"/>
    </row>
    <row r="430" spans="1:45" ht="15">
      <c r="A430" s="66" t="s">
        <v>200</v>
      </c>
      <c r="B430" s="67"/>
      <c r="C430" s="67"/>
      <c r="D430" s="68"/>
      <c r="E430" s="70"/>
      <c r="F430" s="100" t="str">
        <f>HYPERLINK("https://i.ytimg.com/vi/c_g9j2gNUYw/default.jpg")</f>
        <v>https://i.ytimg.com/vi/c_g9j2gNUYw/default.jpg</v>
      </c>
      <c r="G430" s="67"/>
      <c r="H430" s="71"/>
      <c r="I430" s="72"/>
      <c r="J430" s="72"/>
      <c r="K430" s="71" t="s">
        <v>1300</v>
      </c>
      <c r="L430" s="75"/>
      <c r="M430" s="76">
        <v>5372.0751953125</v>
      </c>
      <c r="N430" s="76">
        <v>4640.40185546875</v>
      </c>
      <c r="O430" s="77"/>
      <c r="P430" s="78"/>
      <c r="Q430" s="78"/>
      <c r="R430" s="82"/>
      <c r="S430" s="82"/>
      <c r="T430" s="82"/>
      <c r="U430" s="82"/>
      <c r="V430" s="52"/>
      <c r="W430" s="52"/>
      <c r="X430" s="52"/>
      <c r="Y430" s="52"/>
      <c r="Z430" s="51"/>
      <c r="AA430" s="73">
        <v>430</v>
      </c>
      <c r="AB430" s="73"/>
      <c r="AC430" s="74"/>
      <c r="AD430" s="80" t="s">
        <v>1300</v>
      </c>
      <c r="AE430" s="80"/>
      <c r="AF430" s="80"/>
      <c r="AG430" s="80" t="s">
        <v>4167</v>
      </c>
      <c r="AH430" s="80" t="s">
        <v>4983</v>
      </c>
      <c r="AI430" s="80">
        <v>144</v>
      </c>
      <c r="AJ430" s="80">
        <v>0</v>
      </c>
      <c r="AK430" s="80">
        <v>6</v>
      </c>
      <c r="AL430" s="80">
        <v>4</v>
      </c>
      <c r="AM430" s="80" t="s">
        <v>5614</v>
      </c>
      <c r="AN430" s="102" t="str">
        <f>HYPERLINK("https://www.youtube.com/watch?v=c_g9j2gNUYw")</f>
        <v>https://www.youtube.com/watch?v=c_g9j2gNUYw</v>
      </c>
      <c r="AO430" s="2"/>
      <c r="AP430" s="3"/>
      <c r="AQ430" s="3"/>
      <c r="AR430" s="3"/>
      <c r="AS430" s="3"/>
    </row>
    <row r="431" spans="1:45" ht="15">
      <c r="A431" s="66" t="s">
        <v>615</v>
      </c>
      <c r="B431" s="67"/>
      <c r="C431" s="67"/>
      <c r="D431" s="68"/>
      <c r="E431" s="70"/>
      <c r="F431" s="100" t="str">
        <f>HYPERLINK("https://i.ytimg.com/vi/uuQ3XUAB5HU/default.jpg")</f>
        <v>https://i.ytimg.com/vi/uuQ3XUAB5HU/default.jpg</v>
      </c>
      <c r="G431" s="67"/>
      <c r="H431" s="71"/>
      <c r="I431" s="72"/>
      <c r="J431" s="72"/>
      <c r="K431" s="71" t="s">
        <v>1665</v>
      </c>
      <c r="L431" s="75"/>
      <c r="M431" s="76">
        <v>3404.205322265625</v>
      </c>
      <c r="N431" s="76">
        <v>6790.40673828125</v>
      </c>
      <c r="O431" s="77"/>
      <c r="P431" s="78"/>
      <c r="Q431" s="78"/>
      <c r="R431" s="82"/>
      <c r="S431" s="82"/>
      <c r="T431" s="82"/>
      <c r="U431" s="82"/>
      <c r="V431" s="52"/>
      <c r="W431" s="52"/>
      <c r="X431" s="52"/>
      <c r="Y431" s="52"/>
      <c r="Z431" s="51"/>
      <c r="AA431" s="73">
        <v>431</v>
      </c>
      <c r="AB431" s="73"/>
      <c r="AC431" s="74"/>
      <c r="AD431" s="80" t="s">
        <v>1665</v>
      </c>
      <c r="AE431" s="80"/>
      <c r="AF431" s="80"/>
      <c r="AG431" s="80" t="s">
        <v>4167</v>
      </c>
      <c r="AH431" s="80" t="s">
        <v>4984</v>
      </c>
      <c r="AI431" s="80">
        <v>20746</v>
      </c>
      <c r="AJ431" s="80">
        <v>0</v>
      </c>
      <c r="AK431" s="80">
        <v>207</v>
      </c>
      <c r="AL431" s="80">
        <v>49</v>
      </c>
      <c r="AM431" s="80" t="s">
        <v>5614</v>
      </c>
      <c r="AN431" s="102" t="str">
        <f>HYPERLINK("https://www.youtube.com/watch?v=uuQ3XUAB5HU")</f>
        <v>https://www.youtube.com/watch?v=uuQ3XUAB5HU</v>
      </c>
      <c r="AO431" s="2"/>
      <c r="AP431" s="3"/>
      <c r="AQ431" s="3"/>
      <c r="AR431" s="3"/>
      <c r="AS431" s="3"/>
    </row>
    <row r="432" spans="1:45" ht="15">
      <c r="A432" s="66" t="s">
        <v>616</v>
      </c>
      <c r="B432" s="67"/>
      <c r="C432" s="67"/>
      <c r="D432" s="68"/>
      <c r="E432" s="70"/>
      <c r="F432" s="100" t="str">
        <f>HYPERLINK("https://i.ytimg.com/vi/F3wW1Xyxrb8/default.jpg")</f>
        <v>https://i.ytimg.com/vi/F3wW1Xyxrb8/default.jpg</v>
      </c>
      <c r="G432" s="67"/>
      <c r="H432" s="71"/>
      <c r="I432" s="72"/>
      <c r="J432" s="72"/>
      <c r="K432" s="71" t="s">
        <v>1666</v>
      </c>
      <c r="L432" s="75"/>
      <c r="M432" s="76">
        <v>4126.21240234375</v>
      </c>
      <c r="N432" s="76">
        <v>7075.76513671875</v>
      </c>
      <c r="O432" s="77"/>
      <c r="P432" s="78"/>
      <c r="Q432" s="78"/>
      <c r="R432" s="82"/>
      <c r="S432" s="82"/>
      <c r="T432" s="82"/>
      <c r="U432" s="82"/>
      <c r="V432" s="52"/>
      <c r="W432" s="52"/>
      <c r="X432" s="52"/>
      <c r="Y432" s="52"/>
      <c r="Z432" s="51"/>
      <c r="AA432" s="73">
        <v>432</v>
      </c>
      <c r="AB432" s="73"/>
      <c r="AC432" s="74"/>
      <c r="AD432" s="80" t="s">
        <v>1666</v>
      </c>
      <c r="AE432" s="80" t="s">
        <v>2658</v>
      </c>
      <c r="AF432" s="80" t="s">
        <v>3456</v>
      </c>
      <c r="AG432" s="80" t="s">
        <v>4168</v>
      </c>
      <c r="AH432" s="80" t="s">
        <v>4985</v>
      </c>
      <c r="AI432" s="80">
        <v>18070</v>
      </c>
      <c r="AJ432" s="80">
        <v>6</v>
      </c>
      <c r="AK432" s="80">
        <v>148</v>
      </c>
      <c r="AL432" s="80">
        <v>8</v>
      </c>
      <c r="AM432" s="80" t="s">
        <v>5614</v>
      </c>
      <c r="AN432" s="102" t="str">
        <f>HYPERLINK("https://www.youtube.com/watch?v=F3wW1Xyxrb8")</f>
        <v>https://www.youtube.com/watch?v=F3wW1Xyxrb8</v>
      </c>
      <c r="AO432" s="2"/>
      <c r="AP432" s="3"/>
      <c r="AQ432" s="3"/>
      <c r="AR432" s="3"/>
      <c r="AS432" s="3"/>
    </row>
    <row r="433" spans="1:45" ht="15">
      <c r="A433" s="66" t="s">
        <v>617</v>
      </c>
      <c r="B433" s="67"/>
      <c r="C433" s="67"/>
      <c r="D433" s="68"/>
      <c r="E433" s="70"/>
      <c r="F433" s="100" t="str">
        <f>HYPERLINK("https://i.ytimg.com/vi/74CyHyk89z0/default.jpg")</f>
        <v>https://i.ytimg.com/vi/74CyHyk89z0/default.jpg</v>
      </c>
      <c r="G433" s="67"/>
      <c r="H433" s="71"/>
      <c r="I433" s="72"/>
      <c r="J433" s="72"/>
      <c r="K433" s="71" t="s">
        <v>1667</v>
      </c>
      <c r="L433" s="75"/>
      <c r="M433" s="76">
        <v>4246.87548828125</v>
      </c>
      <c r="N433" s="76">
        <v>7122.96533203125</v>
      </c>
      <c r="O433" s="77"/>
      <c r="P433" s="78"/>
      <c r="Q433" s="78"/>
      <c r="R433" s="82"/>
      <c r="S433" s="82"/>
      <c r="T433" s="82"/>
      <c r="U433" s="82"/>
      <c r="V433" s="52"/>
      <c r="W433" s="52"/>
      <c r="X433" s="52"/>
      <c r="Y433" s="52"/>
      <c r="Z433" s="51"/>
      <c r="AA433" s="73">
        <v>433</v>
      </c>
      <c r="AB433" s="73"/>
      <c r="AC433" s="74"/>
      <c r="AD433" s="80" t="s">
        <v>1667</v>
      </c>
      <c r="AE433" s="80" t="s">
        <v>2659</v>
      </c>
      <c r="AF433" s="80" t="s">
        <v>3230</v>
      </c>
      <c r="AG433" s="80" t="s">
        <v>4169</v>
      </c>
      <c r="AH433" s="80" t="s">
        <v>4986</v>
      </c>
      <c r="AI433" s="80">
        <v>583</v>
      </c>
      <c r="AJ433" s="80">
        <v>0</v>
      </c>
      <c r="AK433" s="80">
        <v>5</v>
      </c>
      <c r="AL433" s="80">
        <v>0</v>
      </c>
      <c r="AM433" s="80" t="s">
        <v>5614</v>
      </c>
      <c r="AN433" s="102" t="str">
        <f>HYPERLINK("https://www.youtube.com/watch?v=74CyHyk89z0")</f>
        <v>https://www.youtube.com/watch?v=74CyHyk89z0</v>
      </c>
      <c r="AO433" s="2"/>
      <c r="AP433" s="3"/>
      <c r="AQ433" s="3"/>
      <c r="AR433" s="3"/>
      <c r="AS433" s="3"/>
    </row>
    <row r="434" spans="1:45" ht="15">
      <c r="A434" s="66" t="s">
        <v>618</v>
      </c>
      <c r="B434" s="67"/>
      <c r="C434" s="67"/>
      <c r="D434" s="68"/>
      <c r="E434" s="70"/>
      <c r="F434" s="100" t="str">
        <f>HYPERLINK("https://i.ytimg.com/vi/oac9qcKVXlA/default.jpg")</f>
        <v>https://i.ytimg.com/vi/oac9qcKVXlA/default.jpg</v>
      </c>
      <c r="G434" s="67"/>
      <c r="H434" s="71"/>
      <c r="I434" s="72"/>
      <c r="J434" s="72"/>
      <c r="K434" s="71" t="s">
        <v>1668</v>
      </c>
      <c r="L434" s="75"/>
      <c r="M434" s="76">
        <v>3409.98046875</v>
      </c>
      <c r="N434" s="76">
        <v>6803.513671875</v>
      </c>
      <c r="O434" s="77"/>
      <c r="P434" s="78"/>
      <c r="Q434" s="78"/>
      <c r="R434" s="82"/>
      <c r="S434" s="82"/>
      <c r="T434" s="82"/>
      <c r="U434" s="82"/>
      <c r="V434" s="52"/>
      <c r="W434" s="52"/>
      <c r="X434" s="52"/>
      <c r="Y434" s="52"/>
      <c r="Z434" s="51"/>
      <c r="AA434" s="73">
        <v>434</v>
      </c>
      <c r="AB434" s="73"/>
      <c r="AC434" s="74"/>
      <c r="AD434" s="80" t="s">
        <v>1668</v>
      </c>
      <c r="AE434" s="80" t="s">
        <v>2660</v>
      </c>
      <c r="AF434" s="80" t="s">
        <v>3457</v>
      </c>
      <c r="AG434" s="80" t="s">
        <v>4170</v>
      </c>
      <c r="AH434" s="80" t="s">
        <v>4987</v>
      </c>
      <c r="AI434" s="80">
        <v>121396</v>
      </c>
      <c r="AJ434" s="80">
        <v>509</v>
      </c>
      <c r="AK434" s="80">
        <v>7341</v>
      </c>
      <c r="AL434" s="80">
        <v>38</v>
      </c>
      <c r="AM434" s="80" t="s">
        <v>5614</v>
      </c>
      <c r="AN434" s="102" t="str">
        <f>HYPERLINK("https://www.youtube.com/watch?v=oac9qcKVXlA")</f>
        <v>https://www.youtube.com/watch?v=oac9qcKVXlA</v>
      </c>
      <c r="AO434" s="2"/>
      <c r="AP434" s="3"/>
      <c r="AQ434" s="3"/>
      <c r="AR434" s="3"/>
      <c r="AS434" s="3"/>
    </row>
    <row r="435" spans="1:45" ht="15">
      <c r="A435" s="66" t="s">
        <v>619</v>
      </c>
      <c r="B435" s="67"/>
      <c r="C435" s="67"/>
      <c r="D435" s="68"/>
      <c r="E435" s="70"/>
      <c r="F435" s="100" t="str">
        <f>HYPERLINK("https://i.ytimg.com/vi/DHuwwlFs8VI/default.jpg")</f>
        <v>https://i.ytimg.com/vi/DHuwwlFs8VI/default.jpg</v>
      </c>
      <c r="G435" s="67"/>
      <c r="H435" s="71"/>
      <c r="I435" s="72"/>
      <c r="J435" s="72"/>
      <c r="K435" s="71" t="s">
        <v>1669</v>
      </c>
      <c r="L435" s="75"/>
      <c r="M435" s="76">
        <v>3250.1728515625</v>
      </c>
      <c r="N435" s="76">
        <v>6686.740234375</v>
      </c>
      <c r="O435" s="77"/>
      <c r="P435" s="78"/>
      <c r="Q435" s="78"/>
      <c r="R435" s="82"/>
      <c r="S435" s="82"/>
      <c r="T435" s="82"/>
      <c r="U435" s="82"/>
      <c r="V435" s="52"/>
      <c r="W435" s="52"/>
      <c r="X435" s="52"/>
      <c r="Y435" s="52"/>
      <c r="Z435" s="51"/>
      <c r="AA435" s="73">
        <v>435</v>
      </c>
      <c r="AB435" s="73"/>
      <c r="AC435" s="74"/>
      <c r="AD435" s="80" t="s">
        <v>1669</v>
      </c>
      <c r="AE435" s="80" t="s">
        <v>2661</v>
      </c>
      <c r="AF435" s="80" t="s">
        <v>3458</v>
      </c>
      <c r="AG435" s="80" t="s">
        <v>4171</v>
      </c>
      <c r="AH435" s="80" t="s">
        <v>4988</v>
      </c>
      <c r="AI435" s="80">
        <v>106926</v>
      </c>
      <c r="AJ435" s="80">
        <v>108</v>
      </c>
      <c r="AK435" s="80">
        <v>2299</v>
      </c>
      <c r="AL435" s="80">
        <v>34</v>
      </c>
      <c r="AM435" s="80" t="s">
        <v>5614</v>
      </c>
      <c r="AN435" s="102" t="str">
        <f>HYPERLINK("https://www.youtube.com/watch?v=DHuwwlFs8VI")</f>
        <v>https://www.youtube.com/watch?v=DHuwwlFs8VI</v>
      </c>
      <c r="AO435" s="2"/>
      <c r="AP435" s="3"/>
      <c r="AQ435" s="3"/>
      <c r="AR435" s="3"/>
      <c r="AS435" s="3"/>
    </row>
    <row r="436" spans="1:45" ht="15">
      <c r="A436" s="66" t="s">
        <v>620</v>
      </c>
      <c r="B436" s="67"/>
      <c r="C436" s="67"/>
      <c r="D436" s="68"/>
      <c r="E436" s="70"/>
      <c r="F436" s="100" t="str">
        <f>HYPERLINK("https://i.ytimg.com/vi/nQPP8th-Qik/default.jpg")</f>
        <v>https://i.ytimg.com/vi/nQPP8th-Qik/default.jpg</v>
      </c>
      <c r="G436" s="67"/>
      <c r="H436" s="71"/>
      <c r="I436" s="72"/>
      <c r="J436" s="72"/>
      <c r="K436" s="71" t="s">
        <v>1670</v>
      </c>
      <c r="L436" s="75"/>
      <c r="M436" s="76">
        <v>2551.831787109375</v>
      </c>
      <c r="N436" s="76">
        <v>2628.880615234375</v>
      </c>
      <c r="O436" s="77"/>
      <c r="P436" s="78"/>
      <c r="Q436" s="78"/>
      <c r="R436" s="82"/>
      <c r="S436" s="82"/>
      <c r="T436" s="82"/>
      <c r="U436" s="82"/>
      <c r="V436" s="52"/>
      <c r="W436" s="52"/>
      <c r="X436" s="52"/>
      <c r="Y436" s="52"/>
      <c r="Z436" s="51"/>
      <c r="AA436" s="73">
        <v>436</v>
      </c>
      <c r="AB436" s="73"/>
      <c r="AC436" s="74"/>
      <c r="AD436" s="80" t="s">
        <v>1670</v>
      </c>
      <c r="AE436" s="80"/>
      <c r="AF436" s="80"/>
      <c r="AG436" s="80" t="s">
        <v>3905</v>
      </c>
      <c r="AH436" s="80" t="s">
        <v>4989</v>
      </c>
      <c r="AI436" s="80">
        <v>307</v>
      </c>
      <c r="AJ436" s="80">
        <v>0</v>
      </c>
      <c r="AK436" s="80">
        <v>22</v>
      </c>
      <c r="AL436" s="80">
        <v>1</v>
      </c>
      <c r="AM436" s="80" t="s">
        <v>5614</v>
      </c>
      <c r="AN436" s="102" t="str">
        <f>HYPERLINK("https://www.youtube.com/watch?v=nQPP8th-Qik")</f>
        <v>https://www.youtube.com/watch?v=nQPP8th-Qik</v>
      </c>
      <c r="AO436" s="2"/>
      <c r="AP436" s="3"/>
      <c r="AQ436" s="3"/>
      <c r="AR436" s="3"/>
      <c r="AS436" s="3"/>
    </row>
    <row r="437" spans="1:45" ht="15">
      <c r="A437" s="66" t="s">
        <v>621</v>
      </c>
      <c r="B437" s="67"/>
      <c r="C437" s="67"/>
      <c r="D437" s="68"/>
      <c r="E437" s="70"/>
      <c r="F437" s="100" t="str">
        <f>HYPERLINK("https://i.ytimg.com/vi/ymgNwyWm4N4/default.jpg")</f>
        <v>https://i.ytimg.com/vi/ymgNwyWm4N4/default.jpg</v>
      </c>
      <c r="G437" s="67"/>
      <c r="H437" s="71"/>
      <c r="I437" s="72"/>
      <c r="J437" s="72"/>
      <c r="K437" s="71" t="s">
        <v>1671</v>
      </c>
      <c r="L437" s="75"/>
      <c r="M437" s="76">
        <v>3005.863037109375</v>
      </c>
      <c r="N437" s="76">
        <v>2136.552490234375</v>
      </c>
      <c r="O437" s="77"/>
      <c r="P437" s="78"/>
      <c r="Q437" s="78"/>
      <c r="R437" s="82"/>
      <c r="S437" s="82"/>
      <c r="T437" s="82"/>
      <c r="U437" s="82"/>
      <c r="V437" s="52"/>
      <c r="W437" s="52"/>
      <c r="X437" s="52"/>
      <c r="Y437" s="52"/>
      <c r="Z437" s="51"/>
      <c r="AA437" s="73">
        <v>437</v>
      </c>
      <c r="AB437" s="73"/>
      <c r="AC437" s="74"/>
      <c r="AD437" s="80" t="s">
        <v>1671</v>
      </c>
      <c r="AE437" s="80" t="s">
        <v>2662</v>
      </c>
      <c r="AF437" s="80"/>
      <c r="AG437" s="80" t="s">
        <v>3905</v>
      </c>
      <c r="AH437" s="80" t="s">
        <v>4990</v>
      </c>
      <c r="AI437" s="80">
        <v>9</v>
      </c>
      <c r="AJ437" s="80">
        <v>0</v>
      </c>
      <c r="AK437" s="80">
        <v>0</v>
      </c>
      <c r="AL437" s="80">
        <v>0</v>
      </c>
      <c r="AM437" s="80" t="s">
        <v>5614</v>
      </c>
      <c r="AN437" s="102" t="str">
        <f>HYPERLINK("https://www.youtube.com/watch?v=ymgNwyWm4N4")</f>
        <v>https://www.youtube.com/watch?v=ymgNwyWm4N4</v>
      </c>
      <c r="AO437" s="2"/>
      <c r="AP437" s="3"/>
      <c r="AQ437" s="3"/>
      <c r="AR437" s="3"/>
      <c r="AS437" s="3"/>
    </row>
    <row r="438" spans="1:45" ht="15">
      <c r="A438" s="66" t="s">
        <v>622</v>
      </c>
      <c r="B438" s="67"/>
      <c r="C438" s="67"/>
      <c r="D438" s="68"/>
      <c r="E438" s="70"/>
      <c r="F438" s="100" t="str">
        <f>HYPERLINK("https://i.ytimg.com/vi/1GNuFouNSUI/default.jpg")</f>
        <v>https://i.ytimg.com/vi/1GNuFouNSUI/default.jpg</v>
      </c>
      <c r="G438" s="67"/>
      <c r="H438" s="71"/>
      <c r="I438" s="72"/>
      <c r="J438" s="72"/>
      <c r="K438" s="71" t="s">
        <v>1672</v>
      </c>
      <c r="L438" s="75"/>
      <c r="M438" s="76">
        <v>2994.91162109375</v>
      </c>
      <c r="N438" s="76">
        <v>1960.8651123046875</v>
      </c>
      <c r="O438" s="77"/>
      <c r="P438" s="78"/>
      <c r="Q438" s="78"/>
      <c r="R438" s="82"/>
      <c r="S438" s="82"/>
      <c r="T438" s="82"/>
      <c r="U438" s="82"/>
      <c r="V438" s="52"/>
      <c r="W438" s="52"/>
      <c r="X438" s="52"/>
      <c r="Y438" s="52"/>
      <c r="Z438" s="51"/>
      <c r="AA438" s="73">
        <v>438</v>
      </c>
      <c r="AB438" s="73"/>
      <c r="AC438" s="74"/>
      <c r="AD438" s="80" t="s">
        <v>1672</v>
      </c>
      <c r="AE438" s="80" t="s">
        <v>2663</v>
      </c>
      <c r="AF438" s="80" t="s">
        <v>3459</v>
      </c>
      <c r="AG438" s="80" t="s">
        <v>4172</v>
      </c>
      <c r="AH438" s="80" t="s">
        <v>4991</v>
      </c>
      <c r="AI438" s="80">
        <v>1313</v>
      </c>
      <c r="AJ438" s="80">
        <v>1</v>
      </c>
      <c r="AK438" s="80">
        <v>11</v>
      </c>
      <c r="AL438" s="80">
        <v>1</v>
      </c>
      <c r="AM438" s="80" t="s">
        <v>5614</v>
      </c>
      <c r="AN438" s="102" t="str">
        <f>HYPERLINK("https://www.youtube.com/watch?v=1GNuFouNSUI")</f>
        <v>https://www.youtube.com/watch?v=1GNuFouNSUI</v>
      </c>
      <c r="AO438" s="2"/>
      <c r="AP438" s="3"/>
      <c r="AQ438" s="3"/>
      <c r="AR438" s="3"/>
      <c r="AS438" s="3"/>
    </row>
    <row r="439" spans="1:45" ht="15">
      <c r="A439" s="66" t="s">
        <v>623</v>
      </c>
      <c r="B439" s="67"/>
      <c r="C439" s="67"/>
      <c r="D439" s="68"/>
      <c r="E439" s="70"/>
      <c r="F439" s="100" t="str">
        <f>HYPERLINK("https://i.ytimg.com/vi/VsaLUgGQLe4/default.jpg")</f>
        <v>https://i.ytimg.com/vi/VsaLUgGQLe4/default.jpg</v>
      </c>
      <c r="G439" s="67"/>
      <c r="H439" s="71"/>
      <c r="I439" s="72"/>
      <c r="J439" s="72"/>
      <c r="K439" s="71" t="s">
        <v>1673</v>
      </c>
      <c r="L439" s="75"/>
      <c r="M439" s="76">
        <v>2808.041748046875</v>
      </c>
      <c r="N439" s="76">
        <v>2201.795166015625</v>
      </c>
      <c r="O439" s="77"/>
      <c r="P439" s="78"/>
      <c r="Q439" s="78"/>
      <c r="R439" s="82"/>
      <c r="S439" s="82"/>
      <c r="T439" s="82"/>
      <c r="U439" s="82"/>
      <c r="V439" s="52"/>
      <c r="W439" s="52"/>
      <c r="X439" s="52"/>
      <c r="Y439" s="52"/>
      <c r="Z439" s="51"/>
      <c r="AA439" s="73">
        <v>439</v>
      </c>
      <c r="AB439" s="73"/>
      <c r="AC439" s="74"/>
      <c r="AD439" s="80" t="s">
        <v>1673</v>
      </c>
      <c r="AE439" s="80" t="s">
        <v>2664</v>
      </c>
      <c r="AF439" s="80"/>
      <c r="AG439" s="80" t="s">
        <v>3905</v>
      </c>
      <c r="AH439" s="80" t="s">
        <v>4992</v>
      </c>
      <c r="AI439" s="80">
        <v>810</v>
      </c>
      <c r="AJ439" s="80">
        <v>1</v>
      </c>
      <c r="AK439" s="80">
        <v>8</v>
      </c>
      <c r="AL439" s="80">
        <v>0</v>
      </c>
      <c r="AM439" s="80" t="s">
        <v>5614</v>
      </c>
      <c r="AN439" s="102" t="str">
        <f>HYPERLINK("https://www.youtube.com/watch?v=VsaLUgGQLe4")</f>
        <v>https://www.youtube.com/watch?v=VsaLUgGQLe4</v>
      </c>
      <c r="AO439" s="2"/>
      <c r="AP439" s="3"/>
      <c r="AQ439" s="3"/>
      <c r="AR439" s="3"/>
      <c r="AS439" s="3"/>
    </row>
    <row r="440" spans="1:45" ht="15">
      <c r="A440" s="66" t="s">
        <v>624</v>
      </c>
      <c r="B440" s="67"/>
      <c r="C440" s="67"/>
      <c r="D440" s="68"/>
      <c r="E440" s="70"/>
      <c r="F440" s="100" t="str">
        <f>HYPERLINK("https://i.ytimg.com/vi/h2LACDXjImY/default.jpg")</f>
        <v>https://i.ytimg.com/vi/h2LACDXjImY/default.jpg</v>
      </c>
      <c r="G440" s="67"/>
      <c r="H440" s="71"/>
      <c r="I440" s="72"/>
      <c r="J440" s="72"/>
      <c r="K440" s="71" t="s">
        <v>1674</v>
      </c>
      <c r="L440" s="75"/>
      <c r="M440" s="76">
        <v>2490.021240234375</v>
      </c>
      <c r="N440" s="76">
        <v>3413.065673828125</v>
      </c>
      <c r="O440" s="77"/>
      <c r="P440" s="78"/>
      <c r="Q440" s="78"/>
      <c r="R440" s="82"/>
      <c r="S440" s="82"/>
      <c r="T440" s="82"/>
      <c r="U440" s="82"/>
      <c r="V440" s="52"/>
      <c r="W440" s="52"/>
      <c r="X440" s="52"/>
      <c r="Y440" s="52"/>
      <c r="Z440" s="51"/>
      <c r="AA440" s="73">
        <v>440</v>
      </c>
      <c r="AB440" s="73"/>
      <c r="AC440" s="74"/>
      <c r="AD440" s="80" t="s">
        <v>1674</v>
      </c>
      <c r="AE440" s="80" t="s">
        <v>2665</v>
      </c>
      <c r="AF440" s="80" t="s">
        <v>3460</v>
      </c>
      <c r="AG440" s="80" t="s">
        <v>4173</v>
      </c>
      <c r="AH440" s="80" t="s">
        <v>4993</v>
      </c>
      <c r="AI440" s="80">
        <v>3782217</v>
      </c>
      <c r="AJ440" s="80">
        <v>3623</v>
      </c>
      <c r="AK440" s="80">
        <v>85761</v>
      </c>
      <c r="AL440" s="80">
        <v>4540</v>
      </c>
      <c r="AM440" s="80" t="s">
        <v>5614</v>
      </c>
      <c r="AN440" s="102" t="str">
        <f>HYPERLINK("https://www.youtube.com/watch?v=h2LACDXjImY")</f>
        <v>https://www.youtube.com/watch?v=h2LACDXjImY</v>
      </c>
      <c r="AO440" s="2"/>
      <c r="AP440" s="3"/>
      <c r="AQ440" s="3"/>
      <c r="AR440" s="3"/>
      <c r="AS440" s="3"/>
    </row>
    <row r="441" spans="1:45" ht="15">
      <c r="A441" s="66" t="s">
        <v>625</v>
      </c>
      <c r="B441" s="67"/>
      <c r="C441" s="67"/>
      <c r="D441" s="68"/>
      <c r="E441" s="70"/>
      <c r="F441" s="100" t="str">
        <f>HYPERLINK("https://i.ytimg.com/vi/EVSnPwlXt1Q/default.jpg")</f>
        <v>https://i.ytimg.com/vi/EVSnPwlXt1Q/default.jpg</v>
      </c>
      <c r="G441" s="67"/>
      <c r="H441" s="71"/>
      <c r="I441" s="72"/>
      <c r="J441" s="72"/>
      <c r="K441" s="71" t="s">
        <v>1675</v>
      </c>
      <c r="L441" s="75"/>
      <c r="M441" s="76">
        <v>2674.8759765625</v>
      </c>
      <c r="N441" s="76">
        <v>2351.38330078125</v>
      </c>
      <c r="O441" s="77"/>
      <c r="P441" s="78"/>
      <c r="Q441" s="78"/>
      <c r="R441" s="82"/>
      <c r="S441" s="82"/>
      <c r="T441" s="82"/>
      <c r="U441" s="82"/>
      <c r="V441" s="52"/>
      <c r="W441" s="52"/>
      <c r="X441" s="52"/>
      <c r="Y441" s="52"/>
      <c r="Z441" s="51"/>
      <c r="AA441" s="73">
        <v>441</v>
      </c>
      <c r="AB441" s="73"/>
      <c r="AC441" s="74"/>
      <c r="AD441" s="80" t="s">
        <v>1675</v>
      </c>
      <c r="AE441" s="80" t="s">
        <v>2666</v>
      </c>
      <c r="AF441" s="80" t="s">
        <v>3461</v>
      </c>
      <c r="AG441" s="80" t="s">
        <v>3905</v>
      </c>
      <c r="AH441" s="80" t="s">
        <v>4994</v>
      </c>
      <c r="AI441" s="80">
        <v>41</v>
      </c>
      <c r="AJ441" s="80">
        <v>0</v>
      </c>
      <c r="AK441" s="80">
        <v>0</v>
      </c>
      <c r="AL441" s="80">
        <v>0</v>
      </c>
      <c r="AM441" s="80" t="s">
        <v>5614</v>
      </c>
      <c r="AN441" s="102" t="str">
        <f>HYPERLINK("https://www.youtube.com/watch?v=EVSnPwlXt1Q")</f>
        <v>https://www.youtube.com/watch?v=EVSnPwlXt1Q</v>
      </c>
      <c r="AO441" s="2"/>
      <c r="AP441" s="3"/>
      <c r="AQ441" s="3"/>
      <c r="AR441" s="3"/>
      <c r="AS441" s="3"/>
    </row>
    <row r="442" spans="1:45" ht="15">
      <c r="A442" s="66" t="s">
        <v>626</v>
      </c>
      <c r="B442" s="67"/>
      <c r="C442" s="67"/>
      <c r="D442" s="68"/>
      <c r="E442" s="70"/>
      <c r="F442" s="100" t="str">
        <f>HYPERLINK("https://i.ytimg.com/vi/Dp57snIAHiA/default.jpg")</f>
        <v>https://i.ytimg.com/vi/Dp57snIAHiA/default.jpg</v>
      </c>
      <c r="G442" s="67"/>
      <c r="H442" s="71"/>
      <c r="I442" s="72"/>
      <c r="J442" s="72"/>
      <c r="K442" s="71" t="s">
        <v>1676</v>
      </c>
      <c r="L442" s="75"/>
      <c r="M442" s="76">
        <v>2648.298828125</v>
      </c>
      <c r="N442" s="76">
        <v>2519.31591796875</v>
      </c>
      <c r="O442" s="77"/>
      <c r="P442" s="78"/>
      <c r="Q442" s="78"/>
      <c r="R442" s="82"/>
      <c r="S442" s="82"/>
      <c r="T442" s="82"/>
      <c r="U442" s="82"/>
      <c r="V442" s="52"/>
      <c r="W442" s="52"/>
      <c r="X442" s="52"/>
      <c r="Y442" s="52"/>
      <c r="Z442" s="51"/>
      <c r="AA442" s="73">
        <v>442</v>
      </c>
      <c r="AB442" s="73"/>
      <c r="AC442" s="74"/>
      <c r="AD442" s="80" t="s">
        <v>1676</v>
      </c>
      <c r="AE442" s="80" t="s">
        <v>2667</v>
      </c>
      <c r="AF442" s="80" t="s">
        <v>3230</v>
      </c>
      <c r="AG442" s="80" t="s">
        <v>4174</v>
      </c>
      <c r="AH442" s="80" t="s">
        <v>4995</v>
      </c>
      <c r="AI442" s="80">
        <v>7899</v>
      </c>
      <c r="AJ442" s="80">
        <v>7</v>
      </c>
      <c r="AK442" s="80">
        <v>66</v>
      </c>
      <c r="AL442" s="80">
        <v>8</v>
      </c>
      <c r="AM442" s="80" t="s">
        <v>5614</v>
      </c>
      <c r="AN442" s="102" t="str">
        <f>HYPERLINK("https://www.youtube.com/watch?v=Dp57snIAHiA")</f>
        <v>https://www.youtube.com/watch?v=Dp57snIAHiA</v>
      </c>
      <c r="AO442" s="2"/>
      <c r="AP442" s="3"/>
      <c r="AQ442" s="3"/>
      <c r="AR442" s="3"/>
      <c r="AS442" s="3"/>
    </row>
    <row r="443" spans="1:45" ht="15">
      <c r="A443" s="66" t="s">
        <v>627</v>
      </c>
      <c r="B443" s="67"/>
      <c r="C443" s="67"/>
      <c r="D443" s="68"/>
      <c r="E443" s="70"/>
      <c r="F443" s="100" t="str">
        <f>HYPERLINK("https://i.ytimg.com/vi/hTFbNeBy9hw/default.jpg")</f>
        <v>https://i.ytimg.com/vi/hTFbNeBy9hw/default.jpg</v>
      </c>
      <c r="G443" s="67"/>
      <c r="H443" s="71"/>
      <c r="I443" s="72"/>
      <c r="J443" s="72"/>
      <c r="K443" s="71" t="s">
        <v>1677</v>
      </c>
      <c r="L443" s="75"/>
      <c r="M443" s="76">
        <v>3317.140869140625</v>
      </c>
      <c r="N443" s="76">
        <v>1683.8907470703125</v>
      </c>
      <c r="O443" s="77"/>
      <c r="P443" s="78"/>
      <c r="Q443" s="78"/>
      <c r="R443" s="82"/>
      <c r="S443" s="82"/>
      <c r="T443" s="82"/>
      <c r="U443" s="82"/>
      <c r="V443" s="52"/>
      <c r="W443" s="52"/>
      <c r="X443" s="52"/>
      <c r="Y443" s="52"/>
      <c r="Z443" s="51"/>
      <c r="AA443" s="73">
        <v>443</v>
      </c>
      <c r="AB443" s="73"/>
      <c r="AC443" s="74"/>
      <c r="AD443" s="80" t="s">
        <v>1677</v>
      </c>
      <c r="AE443" s="80" t="s">
        <v>2668</v>
      </c>
      <c r="AF443" s="80"/>
      <c r="AG443" s="80" t="s">
        <v>3905</v>
      </c>
      <c r="AH443" s="80" t="s">
        <v>4996</v>
      </c>
      <c r="AI443" s="80">
        <v>30</v>
      </c>
      <c r="AJ443" s="80">
        <v>0</v>
      </c>
      <c r="AK443" s="80">
        <v>0</v>
      </c>
      <c r="AL443" s="80">
        <v>0</v>
      </c>
      <c r="AM443" s="80" t="s">
        <v>5614</v>
      </c>
      <c r="AN443" s="102" t="str">
        <f>HYPERLINK("https://www.youtube.com/watch?v=hTFbNeBy9hw")</f>
        <v>https://www.youtube.com/watch?v=hTFbNeBy9hw</v>
      </c>
      <c r="AO443" s="2"/>
      <c r="AP443" s="3"/>
      <c r="AQ443" s="3"/>
      <c r="AR443" s="3"/>
      <c r="AS443" s="3"/>
    </row>
    <row r="444" spans="1:45" ht="15">
      <c r="A444" s="66" t="s">
        <v>628</v>
      </c>
      <c r="B444" s="67"/>
      <c r="C444" s="67"/>
      <c r="D444" s="68"/>
      <c r="E444" s="70"/>
      <c r="F444" s="100" t="str">
        <f>HYPERLINK("https://i.ytimg.com/vi/gf1Dqy7Y8T4/default.jpg")</f>
        <v>https://i.ytimg.com/vi/gf1Dqy7Y8T4/default.jpg</v>
      </c>
      <c r="G444" s="67"/>
      <c r="H444" s="71"/>
      <c r="I444" s="72"/>
      <c r="J444" s="72"/>
      <c r="K444" s="71" t="s">
        <v>1678</v>
      </c>
      <c r="L444" s="75"/>
      <c r="M444" s="76">
        <v>2622.887939453125</v>
      </c>
      <c r="N444" s="76">
        <v>2524.30908203125</v>
      </c>
      <c r="O444" s="77"/>
      <c r="P444" s="78"/>
      <c r="Q444" s="78"/>
      <c r="R444" s="82"/>
      <c r="S444" s="82"/>
      <c r="T444" s="82"/>
      <c r="U444" s="82"/>
      <c r="V444" s="52"/>
      <c r="W444" s="52"/>
      <c r="X444" s="52"/>
      <c r="Y444" s="52"/>
      <c r="Z444" s="51"/>
      <c r="AA444" s="73">
        <v>444</v>
      </c>
      <c r="AB444" s="73"/>
      <c r="AC444" s="74"/>
      <c r="AD444" s="80" t="s">
        <v>1678</v>
      </c>
      <c r="AE444" s="80" t="s">
        <v>2669</v>
      </c>
      <c r="AF444" s="80" t="s">
        <v>3462</v>
      </c>
      <c r="AG444" s="80" t="s">
        <v>3905</v>
      </c>
      <c r="AH444" s="80" t="s">
        <v>4997</v>
      </c>
      <c r="AI444" s="80">
        <v>95</v>
      </c>
      <c r="AJ444" s="80">
        <v>0</v>
      </c>
      <c r="AK444" s="80">
        <v>3</v>
      </c>
      <c r="AL444" s="80">
        <v>1</v>
      </c>
      <c r="AM444" s="80" t="s">
        <v>5614</v>
      </c>
      <c r="AN444" s="102" t="str">
        <f>HYPERLINK("https://www.youtube.com/watch?v=gf1Dqy7Y8T4")</f>
        <v>https://www.youtube.com/watch?v=gf1Dqy7Y8T4</v>
      </c>
      <c r="AO444" s="2"/>
      <c r="AP444" s="3"/>
      <c r="AQ444" s="3"/>
      <c r="AR444" s="3"/>
      <c r="AS444" s="3"/>
    </row>
    <row r="445" spans="1:45" ht="15">
      <c r="A445" s="66" t="s">
        <v>629</v>
      </c>
      <c r="B445" s="67"/>
      <c r="C445" s="67"/>
      <c r="D445" s="68"/>
      <c r="E445" s="70"/>
      <c r="F445" s="100" t="str">
        <f>HYPERLINK("https://i.ytimg.com/vi/Od6anUcv8q4/default.jpg")</f>
        <v>https://i.ytimg.com/vi/Od6anUcv8q4/default.jpg</v>
      </c>
      <c r="G445" s="67"/>
      <c r="H445" s="71"/>
      <c r="I445" s="72"/>
      <c r="J445" s="72"/>
      <c r="K445" s="71" t="s">
        <v>1679</v>
      </c>
      <c r="L445" s="75"/>
      <c r="M445" s="76">
        <v>2589.2041015625</v>
      </c>
      <c r="N445" s="76">
        <v>2419.529052734375</v>
      </c>
      <c r="O445" s="77"/>
      <c r="P445" s="78"/>
      <c r="Q445" s="78"/>
      <c r="R445" s="82"/>
      <c r="S445" s="82"/>
      <c r="T445" s="82"/>
      <c r="U445" s="82"/>
      <c r="V445" s="52"/>
      <c r="W445" s="52"/>
      <c r="X445" s="52"/>
      <c r="Y445" s="52"/>
      <c r="Z445" s="51"/>
      <c r="AA445" s="73">
        <v>445</v>
      </c>
      <c r="AB445" s="73"/>
      <c r="AC445" s="74"/>
      <c r="AD445" s="80" t="s">
        <v>1679</v>
      </c>
      <c r="AE445" s="80" t="s">
        <v>2670</v>
      </c>
      <c r="AF445" s="80" t="s">
        <v>3463</v>
      </c>
      <c r="AG445" s="80" t="s">
        <v>4175</v>
      </c>
      <c r="AH445" s="80" t="s">
        <v>4998</v>
      </c>
      <c r="AI445" s="80">
        <v>219113</v>
      </c>
      <c r="AJ445" s="80">
        <v>214</v>
      </c>
      <c r="AK445" s="80">
        <v>4235</v>
      </c>
      <c r="AL445" s="80">
        <v>215</v>
      </c>
      <c r="AM445" s="80" t="s">
        <v>5614</v>
      </c>
      <c r="AN445" s="102" t="str">
        <f>HYPERLINK("https://www.youtube.com/watch?v=Od6anUcv8q4")</f>
        <v>https://www.youtube.com/watch?v=Od6anUcv8q4</v>
      </c>
      <c r="AO445" s="2"/>
      <c r="AP445" s="3"/>
      <c r="AQ445" s="3"/>
      <c r="AR445" s="3"/>
      <c r="AS445" s="3"/>
    </row>
    <row r="446" spans="1:45" ht="15">
      <c r="A446" s="66" t="s">
        <v>630</v>
      </c>
      <c r="B446" s="67"/>
      <c r="C446" s="67"/>
      <c r="D446" s="68"/>
      <c r="E446" s="70"/>
      <c r="F446" s="100" t="str">
        <f>HYPERLINK("https://i.ytimg.com/vi/rNmXiYY9iHA/default.jpg")</f>
        <v>https://i.ytimg.com/vi/rNmXiYY9iHA/default.jpg</v>
      </c>
      <c r="G446" s="67"/>
      <c r="H446" s="71"/>
      <c r="I446" s="72"/>
      <c r="J446" s="72"/>
      <c r="K446" s="71" t="s">
        <v>1680</v>
      </c>
      <c r="L446" s="75"/>
      <c r="M446" s="76">
        <v>2518.140380859375</v>
      </c>
      <c r="N446" s="76">
        <v>2653.661865234375</v>
      </c>
      <c r="O446" s="77"/>
      <c r="P446" s="78"/>
      <c r="Q446" s="78"/>
      <c r="R446" s="82"/>
      <c r="S446" s="82"/>
      <c r="T446" s="82"/>
      <c r="U446" s="82"/>
      <c r="V446" s="52"/>
      <c r="W446" s="52"/>
      <c r="X446" s="52"/>
      <c r="Y446" s="52"/>
      <c r="Z446" s="51"/>
      <c r="AA446" s="73">
        <v>446</v>
      </c>
      <c r="AB446" s="73"/>
      <c r="AC446" s="74"/>
      <c r="AD446" s="80" t="s">
        <v>1680</v>
      </c>
      <c r="AE446" s="80" t="s">
        <v>2671</v>
      </c>
      <c r="AF446" s="80" t="s">
        <v>3464</v>
      </c>
      <c r="AG446" s="80" t="s">
        <v>4176</v>
      </c>
      <c r="AH446" s="80" t="s">
        <v>4999</v>
      </c>
      <c r="AI446" s="80">
        <v>85349</v>
      </c>
      <c r="AJ446" s="80">
        <v>97</v>
      </c>
      <c r="AK446" s="80">
        <v>893</v>
      </c>
      <c r="AL446" s="80">
        <v>62</v>
      </c>
      <c r="AM446" s="80" t="s">
        <v>5614</v>
      </c>
      <c r="AN446" s="102" t="str">
        <f>HYPERLINK("https://www.youtube.com/watch?v=rNmXiYY9iHA")</f>
        <v>https://www.youtube.com/watch?v=rNmXiYY9iHA</v>
      </c>
      <c r="AO446" s="2"/>
      <c r="AP446" s="3"/>
      <c r="AQ446" s="3"/>
      <c r="AR446" s="3"/>
      <c r="AS446" s="3"/>
    </row>
    <row r="447" spans="1:45" ht="15">
      <c r="A447" s="66" t="s">
        <v>631</v>
      </c>
      <c r="B447" s="67"/>
      <c r="C447" s="67"/>
      <c r="D447" s="68"/>
      <c r="E447" s="70"/>
      <c r="F447" s="100" t="str">
        <f>HYPERLINK("https://i.ytimg.com/vi/wdLiF09gxL4/default.jpg")</f>
        <v>https://i.ytimg.com/vi/wdLiF09gxL4/default.jpg</v>
      </c>
      <c r="G447" s="67"/>
      <c r="H447" s="71"/>
      <c r="I447" s="72"/>
      <c r="J447" s="72"/>
      <c r="K447" s="71" t="s">
        <v>1681</v>
      </c>
      <c r="L447" s="75"/>
      <c r="M447" s="76">
        <v>2825.203125</v>
      </c>
      <c r="N447" s="76">
        <v>2327.654052734375</v>
      </c>
      <c r="O447" s="77"/>
      <c r="P447" s="78"/>
      <c r="Q447" s="78"/>
      <c r="R447" s="82"/>
      <c r="S447" s="82"/>
      <c r="T447" s="82"/>
      <c r="U447" s="82"/>
      <c r="V447" s="52"/>
      <c r="W447" s="52"/>
      <c r="X447" s="52"/>
      <c r="Y447" s="52"/>
      <c r="Z447" s="51"/>
      <c r="AA447" s="73">
        <v>447</v>
      </c>
      <c r="AB447" s="73"/>
      <c r="AC447" s="74"/>
      <c r="AD447" s="80" t="s">
        <v>1681</v>
      </c>
      <c r="AE447" s="80" t="s">
        <v>2672</v>
      </c>
      <c r="AF447" s="80"/>
      <c r="AG447" s="80" t="s">
        <v>3905</v>
      </c>
      <c r="AH447" s="80" t="s">
        <v>5000</v>
      </c>
      <c r="AI447" s="80">
        <v>17</v>
      </c>
      <c r="AJ447" s="80">
        <v>0</v>
      </c>
      <c r="AK447" s="80">
        <v>2</v>
      </c>
      <c r="AL447" s="80">
        <v>0</v>
      </c>
      <c r="AM447" s="80" t="s">
        <v>5614</v>
      </c>
      <c r="AN447" s="102" t="str">
        <f>HYPERLINK("https://www.youtube.com/watch?v=wdLiF09gxL4")</f>
        <v>https://www.youtube.com/watch?v=wdLiF09gxL4</v>
      </c>
      <c r="AO447" s="2"/>
      <c r="AP447" s="3"/>
      <c r="AQ447" s="3"/>
      <c r="AR447" s="3"/>
      <c r="AS447" s="3"/>
    </row>
    <row r="448" spans="1:45" ht="15">
      <c r="A448" s="66" t="s">
        <v>632</v>
      </c>
      <c r="B448" s="67"/>
      <c r="C448" s="67"/>
      <c r="D448" s="68"/>
      <c r="E448" s="70"/>
      <c r="F448" s="100" t="str">
        <f>HYPERLINK("https://i.ytimg.com/vi/XcaW069_e_o/default.jpg")</f>
        <v>https://i.ytimg.com/vi/XcaW069_e_o/default.jpg</v>
      </c>
      <c r="G448" s="67"/>
      <c r="H448" s="71"/>
      <c r="I448" s="72"/>
      <c r="J448" s="72"/>
      <c r="K448" s="71" t="s">
        <v>1682</v>
      </c>
      <c r="L448" s="75"/>
      <c r="M448" s="76">
        <v>2822.918212890625</v>
      </c>
      <c r="N448" s="76">
        <v>2095.91552734375</v>
      </c>
      <c r="O448" s="77"/>
      <c r="P448" s="78"/>
      <c r="Q448" s="78"/>
      <c r="R448" s="82"/>
      <c r="S448" s="82"/>
      <c r="T448" s="82"/>
      <c r="U448" s="82"/>
      <c r="V448" s="52"/>
      <c r="W448" s="52"/>
      <c r="X448" s="52"/>
      <c r="Y448" s="52"/>
      <c r="Z448" s="51"/>
      <c r="AA448" s="73">
        <v>448</v>
      </c>
      <c r="AB448" s="73"/>
      <c r="AC448" s="74"/>
      <c r="AD448" s="80" t="s">
        <v>1682</v>
      </c>
      <c r="AE448" s="80" t="s">
        <v>1682</v>
      </c>
      <c r="AF448" s="80"/>
      <c r="AG448" s="80" t="s">
        <v>3905</v>
      </c>
      <c r="AH448" s="80" t="s">
        <v>5001</v>
      </c>
      <c r="AI448" s="80">
        <v>668</v>
      </c>
      <c r="AJ448" s="80">
        <v>0</v>
      </c>
      <c r="AK448" s="80">
        <v>27</v>
      </c>
      <c r="AL448" s="80">
        <v>0</v>
      </c>
      <c r="AM448" s="80" t="s">
        <v>5614</v>
      </c>
      <c r="AN448" s="102" t="str">
        <f>HYPERLINK("https://www.youtube.com/watch?v=XcaW069_e_o")</f>
        <v>https://www.youtube.com/watch?v=XcaW069_e_o</v>
      </c>
      <c r="AO448" s="2"/>
      <c r="AP448" s="3"/>
      <c r="AQ448" s="3"/>
      <c r="AR448" s="3"/>
      <c r="AS448" s="3"/>
    </row>
    <row r="449" spans="1:45" ht="15">
      <c r="A449" s="66" t="s">
        <v>633</v>
      </c>
      <c r="B449" s="67"/>
      <c r="C449" s="67"/>
      <c r="D449" s="68"/>
      <c r="E449" s="70"/>
      <c r="F449" s="100" t="str">
        <f>HYPERLINK("https://i.ytimg.com/vi/STKJMrfvw2I/default.jpg")</f>
        <v>https://i.ytimg.com/vi/STKJMrfvw2I/default.jpg</v>
      </c>
      <c r="G449" s="67"/>
      <c r="H449" s="71"/>
      <c r="I449" s="72"/>
      <c r="J449" s="72"/>
      <c r="K449" s="71" t="s">
        <v>1683</v>
      </c>
      <c r="L449" s="75"/>
      <c r="M449" s="76">
        <v>2978.395751953125</v>
      </c>
      <c r="N449" s="76">
        <v>1951.2293701171875</v>
      </c>
      <c r="O449" s="77"/>
      <c r="P449" s="78"/>
      <c r="Q449" s="78"/>
      <c r="R449" s="82"/>
      <c r="S449" s="82"/>
      <c r="T449" s="82"/>
      <c r="U449" s="82"/>
      <c r="V449" s="52"/>
      <c r="W449" s="52"/>
      <c r="X449" s="52"/>
      <c r="Y449" s="52"/>
      <c r="Z449" s="51"/>
      <c r="AA449" s="73">
        <v>449</v>
      </c>
      <c r="AB449" s="73"/>
      <c r="AC449" s="74"/>
      <c r="AD449" s="80" t="s">
        <v>1683</v>
      </c>
      <c r="AE449" s="80" t="s">
        <v>2673</v>
      </c>
      <c r="AF449" s="80" t="s">
        <v>3465</v>
      </c>
      <c r="AG449" s="80" t="s">
        <v>3905</v>
      </c>
      <c r="AH449" s="80" t="s">
        <v>5002</v>
      </c>
      <c r="AI449" s="80">
        <v>33</v>
      </c>
      <c r="AJ449" s="80">
        <v>0</v>
      </c>
      <c r="AK449" s="80">
        <v>2</v>
      </c>
      <c r="AL449" s="80">
        <v>0</v>
      </c>
      <c r="AM449" s="80" t="s">
        <v>5614</v>
      </c>
      <c r="AN449" s="102" t="str">
        <f>HYPERLINK("https://www.youtube.com/watch?v=STKJMrfvw2I")</f>
        <v>https://www.youtube.com/watch?v=STKJMrfvw2I</v>
      </c>
      <c r="AO449" s="2"/>
      <c r="AP449" s="3"/>
      <c r="AQ449" s="3"/>
      <c r="AR449" s="3"/>
      <c r="AS449" s="3"/>
    </row>
    <row r="450" spans="1:45" ht="15">
      <c r="A450" s="66" t="s">
        <v>634</v>
      </c>
      <c r="B450" s="67"/>
      <c r="C450" s="67"/>
      <c r="D450" s="68"/>
      <c r="E450" s="70"/>
      <c r="F450" s="100" t="str">
        <f>HYPERLINK("https://i.ytimg.com/vi/2at84be_x7M/default.jpg")</f>
        <v>https://i.ytimg.com/vi/2at84be_x7M/default.jpg</v>
      </c>
      <c r="G450" s="67"/>
      <c r="H450" s="71"/>
      <c r="I450" s="72"/>
      <c r="J450" s="72"/>
      <c r="K450" s="71" t="s">
        <v>1684</v>
      </c>
      <c r="L450" s="75"/>
      <c r="M450" s="76">
        <v>3012.5361328125</v>
      </c>
      <c r="N450" s="76">
        <v>2018.9588623046875</v>
      </c>
      <c r="O450" s="77"/>
      <c r="P450" s="78"/>
      <c r="Q450" s="78"/>
      <c r="R450" s="82"/>
      <c r="S450" s="82"/>
      <c r="T450" s="82"/>
      <c r="U450" s="82"/>
      <c r="V450" s="52"/>
      <c r="W450" s="52"/>
      <c r="X450" s="52"/>
      <c r="Y450" s="52"/>
      <c r="Z450" s="51"/>
      <c r="AA450" s="73">
        <v>450</v>
      </c>
      <c r="AB450" s="73"/>
      <c r="AC450" s="74"/>
      <c r="AD450" s="80" t="s">
        <v>1684</v>
      </c>
      <c r="AE450" s="80" t="s">
        <v>2674</v>
      </c>
      <c r="AF450" s="80"/>
      <c r="AG450" s="80" t="s">
        <v>3905</v>
      </c>
      <c r="AH450" s="80" t="s">
        <v>5003</v>
      </c>
      <c r="AI450" s="80">
        <v>39</v>
      </c>
      <c r="AJ450" s="80">
        <v>0</v>
      </c>
      <c r="AK450" s="80">
        <v>5</v>
      </c>
      <c r="AL450" s="80">
        <v>0</v>
      </c>
      <c r="AM450" s="80" t="s">
        <v>5614</v>
      </c>
      <c r="AN450" s="102" t="str">
        <f>HYPERLINK("https://www.youtube.com/watch?v=2at84be_x7M")</f>
        <v>https://www.youtube.com/watch?v=2at84be_x7M</v>
      </c>
      <c r="AO450" s="2"/>
      <c r="AP450" s="3"/>
      <c r="AQ450" s="3"/>
      <c r="AR450" s="3"/>
      <c r="AS450" s="3"/>
    </row>
    <row r="451" spans="1:45" ht="15">
      <c r="A451" s="66" t="s">
        <v>635</v>
      </c>
      <c r="B451" s="67"/>
      <c r="C451" s="67"/>
      <c r="D451" s="68"/>
      <c r="E451" s="70"/>
      <c r="F451" s="100" t="str">
        <f>HYPERLINK("https://i.ytimg.com/vi/Bu_fVQKTGOM/default.jpg")</f>
        <v>https://i.ytimg.com/vi/Bu_fVQKTGOM/default.jpg</v>
      </c>
      <c r="G451" s="67"/>
      <c r="H451" s="71"/>
      <c r="I451" s="72"/>
      <c r="J451" s="72"/>
      <c r="K451" s="71" t="s">
        <v>1685</v>
      </c>
      <c r="L451" s="75"/>
      <c r="M451" s="76">
        <v>3183.334228515625</v>
      </c>
      <c r="N451" s="76">
        <v>1831.274169921875</v>
      </c>
      <c r="O451" s="77"/>
      <c r="P451" s="78"/>
      <c r="Q451" s="78"/>
      <c r="R451" s="82"/>
      <c r="S451" s="82"/>
      <c r="T451" s="82"/>
      <c r="U451" s="82"/>
      <c r="V451" s="52"/>
      <c r="W451" s="52"/>
      <c r="X451" s="52"/>
      <c r="Y451" s="52"/>
      <c r="Z451" s="51"/>
      <c r="AA451" s="73">
        <v>451</v>
      </c>
      <c r="AB451" s="73"/>
      <c r="AC451" s="74"/>
      <c r="AD451" s="80" t="s">
        <v>1685</v>
      </c>
      <c r="AE451" s="80" t="s">
        <v>2675</v>
      </c>
      <c r="AF451" s="80" t="s">
        <v>3466</v>
      </c>
      <c r="AG451" s="80" t="s">
        <v>3905</v>
      </c>
      <c r="AH451" s="80" t="s">
        <v>5004</v>
      </c>
      <c r="AI451" s="80">
        <v>46</v>
      </c>
      <c r="AJ451" s="80">
        <v>1</v>
      </c>
      <c r="AK451" s="80">
        <v>2</v>
      </c>
      <c r="AL451" s="80">
        <v>0</v>
      </c>
      <c r="AM451" s="80" t="s">
        <v>5614</v>
      </c>
      <c r="AN451" s="102" t="str">
        <f>HYPERLINK("https://www.youtube.com/watch?v=Bu_fVQKTGOM")</f>
        <v>https://www.youtube.com/watch?v=Bu_fVQKTGOM</v>
      </c>
      <c r="AO451" s="2"/>
      <c r="AP451" s="3"/>
      <c r="AQ451" s="3"/>
      <c r="AR451" s="3"/>
      <c r="AS451" s="3"/>
    </row>
    <row r="452" spans="1:45" ht="15">
      <c r="A452" s="66" t="s">
        <v>636</v>
      </c>
      <c r="B452" s="67"/>
      <c r="C452" s="67"/>
      <c r="D452" s="68"/>
      <c r="E452" s="70"/>
      <c r="F452" s="100" t="str">
        <f>HYPERLINK("https://i.ytimg.com/vi/h6dKUphvO0c/default.jpg")</f>
        <v>https://i.ytimg.com/vi/h6dKUphvO0c/default.jpg</v>
      </c>
      <c r="G452" s="67"/>
      <c r="H452" s="71"/>
      <c r="I452" s="72"/>
      <c r="J452" s="72"/>
      <c r="K452" s="71" t="s">
        <v>1686</v>
      </c>
      <c r="L452" s="75"/>
      <c r="M452" s="76">
        <v>2619.53857421875</v>
      </c>
      <c r="N452" s="76">
        <v>2457.48046875</v>
      </c>
      <c r="O452" s="77"/>
      <c r="P452" s="78"/>
      <c r="Q452" s="78"/>
      <c r="R452" s="82"/>
      <c r="S452" s="82"/>
      <c r="T452" s="82"/>
      <c r="U452" s="82"/>
      <c r="V452" s="52"/>
      <c r="W452" s="52"/>
      <c r="X452" s="52"/>
      <c r="Y452" s="52"/>
      <c r="Z452" s="51"/>
      <c r="AA452" s="73">
        <v>452</v>
      </c>
      <c r="AB452" s="73"/>
      <c r="AC452" s="74"/>
      <c r="AD452" s="80" t="s">
        <v>1686</v>
      </c>
      <c r="AE452" s="80" t="s">
        <v>2676</v>
      </c>
      <c r="AF452" s="80" t="s">
        <v>3467</v>
      </c>
      <c r="AG452" s="80" t="s">
        <v>3905</v>
      </c>
      <c r="AH452" s="80" t="s">
        <v>5005</v>
      </c>
      <c r="AI452" s="80">
        <v>85</v>
      </c>
      <c r="AJ452" s="80">
        <v>0</v>
      </c>
      <c r="AK452" s="80">
        <v>1</v>
      </c>
      <c r="AL452" s="80">
        <v>0</v>
      </c>
      <c r="AM452" s="80" t="s">
        <v>5614</v>
      </c>
      <c r="AN452" s="102" t="str">
        <f>HYPERLINK("https://www.youtube.com/watch?v=h6dKUphvO0c")</f>
        <v>https://www.youtube.com/watch?v=h6dKUphvO0c</v>
      </c>
      <c r="AO452" s="2"/>
      <c r="AP452" s="3"/>
      <c r="AQ452" s="3"/>
      <c r="AR452" s="3"/>
      <c r="AS452" s="3"/>
    </row>
    <row r="453" spans="1:45" ht="15">
      <c r="A453" s="66" t="s">
        <v>637</v>
      </c>
      <c r="B453" s="67"/>
      <c r="C453" s="67"/>
      <c r="D453" s="68"/>
      <c r="E453" s="70"/>
      <c r="F453" s="100" t="str">
        <f>HYPERLINK("https://i.ytimg.com/vi/ArAJdoxhKW4/default.jpg")</f>
        <v>https://i.ytimg.com/vi/ArAJdoxhKW4/default.jpg</v>
      </c>
      <c r="G453" s="67"/>
      <c r="H453" s="71"/>
      <c r="I453" s="72"/>
      <c r="J453" s="72"/>
      <c r="K453" s="71" t="s">
        <v>1687</v>
      </c>
      <c r="L453" s="75"/>
      <c r="M453" s="76">
        <v>2700.346923828125</v>
      </c>
      <c r="N453" s="76">
        <v>2551.31689453125</v>
      </c>
      <c r="O453" s="77"/>
      <c r="P453" s="78"/>
      <c r="Q453" s="78"/>
      <c r="R453" s="82"/>
      <c r="S453" s="82"/>
      <c r="T453" s="82"/>
      <c r="U453" s="82"/>
      <c r="V453" s="52"/>
      <c r="W453" s="52"/>
      <c r="X453" s="52"/>
      <c r="Y453" s="52"/>
      <c r="Z453" s="51"/>
      <c r="AA453" s="73">
        <v>453</v>
      </c>
      <c r="AB453" s="73"/>
      <c r="AC453" s="74"/>
      <c r="AD453" s="80" t="s">
        <v>1687</v>
      </c>
      <c r="AE453" s="80" t="s">
        <v>2677</v>
      </c>
      <c r="AF453" s="80" t="s">
        <v>3467</v>
      </c>
      <c r="AG453" s="80" t="s">
        <v>3905</v>
      </c>
      <c r="AH453" s="80" t="s">
        <v>5006</v>
      </c>
      <c r="AI453" s="80">
        <v>207</v>
      </c>
      <c r="AJ453" s="80">
        <v>0</v>
      </c>
      <c r="AK453" s="80">
        <v>4</v>
      </c>
      <c r="AL453" s="80">
        <v>0</v>
      </c>
      <c r="AM453" s="80" t="s">
        <v>5614</v>
      </c>
      <c r="AN453" s="102" t="str">
        <f>HYPERLINK("https://www.youtube.com/watch?v=ArAJdoxhKW4")</f>
        <v>https://www.youtube.com/watch?v=ArAJdoxhKW4</v>
      </c>
      <c r="AO453" s="2"/>
      <c r="AP453" s="3"/>
      <c r="AQ453" s="3"/>
      <c r="AR453" s="3"/>
      <c r="AS453" s="3"/>
    </row>
    <row r="454" spans="1:45" ht="15">
      <c r="A454" s="66" t="s">
        <v>638</v>
      </c>
      <c r="B454" s="67"/>
      <c r="C454" s="67"/>
      <c r="D454" s="68"/>
      <c r="E454" s="70"/>
      <c r="F454" s="100" t="str">
        <f>HYPERLINK("https://i.ytimg.com/vi/-x8DFRnJHm8/default.jpg")</f>
        <v>https://i.ytimg.com/vi/-x8DFRnJHm8/default.jpg</v>
      </c>
      <c r="G454" s="67"/>
      <c r="H454" s="71"/>
      <c r="I454" s="72"/>
      <c r="J454" s="72"/>
      <c r="K454" s="71" t="s">
        <v>1688</v>
      </c>
      <c r="L454" s="75"/>
      <c r="M454" s="76">
        <v>3197.67138671875</v>
      </c>
      <c r="N454" s="76">
        <v>1782.9951171875</v>
      </c>
      <c r="O454" s="77"/>
      <c r="P454" s="78"/>
      <c r="Q454" s="78"/>
      <c r="R454" s="82"/>
      <c r="S454" s="82"/>
      <c r="T454" s="82"/>
      <c r="U454" s="82"/>
      <c r="V454" s="52"/>
      <c r="W454" s="52"/>
      <c r="X454" s="52"/>
      <c r="Y454" s="52"/>
      <c r="Z454" s="51"/>
      <c r="AA454" s="73">
        <v>454</v>
      </c>
      <c r="AB454" s="73"/>
      <c r="AC454" s="74"/>
      <c r="AD454" s="80" t="s">
        <v>1688</v>
      </c>
      <c r="AE454" s="80" t="s">
        <v>2678</v>
      </c>
      <c r="AF454" s="80" t="s">
        <v>3468</v>
      </c>
      <c r="AG454" s="80" t="s">
        <v>3905</v>
      </c>
      <c r="AH454" s="80" t="s">
        <v>5007</v>
      </c>
      <c r="AI454" s="80">
        <v>45591</v>
      </c>
      <c r="AJ454" s="80">
        <v>11</v>
      </c>
      <c r="AK454" s="80">
        <v>73</v>
      </c>
      <c r="AL454" s="80">
        <v>4</v>
      </c>
      <c r="AM454" s="80" t="s">
        <v>5614</v>
      </c>
      <c r="AN454" s="102" t="str">
        <f>HYPERLINK("https://www.youtube.com/watch?v=-x8DFRnJHm8")</f>
        <v>https://www.youtube.com/watch?v=-x8DFRnJHm8</v>
      </c>
      <c r="AO454" s="2"/>
      <c r="AP454" s="3"/>
      <c r="AQ454" s="3"/>
      <c r="AR454" s="3"/>
      <c r="AS454" s="3"/>
    </row>
    <row r="455" spans="1:45" ht="15">
      <c r="A455" s="66" t="s">
        <v>639</v>
      </c>
      <c r="B455" s="67"/>
      <c r="C455" s="67"/>
      <c r="D455" s="68"/>
      <c r="E455" s="70"/>
      <c r="F455" s="100" t="str">
        <f>HYPERLINK("https://i.ytimg.com/vi/t2GrmD2Lhe0/default.jpg")</f>
        <v>https://i.ytimg.com/vi/t2GrmD2Lhe0/default.jpg</v>
      </c>
      <c r="G455" s="67"/>
      <c r="H455" s="71"/>
      <c r="I455" s="72"/>
      <c r="J455" s="72"/>
      <c r="K455" s="71" t="s">
        <v>1689</v>
      </c>
      <c r="L455" s="75"/>
      <c r="M455" s="76">
        <v>2808.969482421875</v>
      </c>
      <c r="N455" s="76">
        <v>2357.242919921875</v>
      </c>
      <c r="O455" s="77"/>
      <c r="P455" s="78"/>
      <c r="Q455" s="78"/>
      <c r="R455" s="82"/>
      <c r="S455" s="82"/>
      <c r="T455" s="82"/>
      <c r="U455" s="82"/>
      <c r="V455" s="52"/>
      <c r="W455" s="52"/>
      <c r="X455" s="52"/>
      <c r="Y455" s="52"/>
      <c r="Z455" s="51"/>
      <c r="AA455" s="73">
        <v>455</v>
      </c>
      <c r="AB455" s="73"/>
      <c r="AC455" s="74"/>
      <c r="AD455" s="80" t="s">
        <v>1689</v>
      </c>
      <c r="AE455" s="80" t="s">
        <v>2679</v>
      </c>
      <c r="AF455" s="80" t="s">
        <v>3469</v>
      </c>
      <c r="AG455" s="80" t="s">
        <v>4177</v>
      </c>
      <c r="AH455" s="80" t="s">
        <v>5008</v>
      </c>
      <c r="AI455" s="80">
        <v>168760</v>
      </c>
      <c r="AJ455" s="80">
        <v>60</v>
      </c>
      <c r="AK455" s="80">
        <v>1902</v>
      </c>
      <c r="AL455" s="80">
        <v>64</v>
      </c>
      <c r="AM455" s="80" t="s">
        <v>5614</v>
      </c>
      <c r="AN455" s="102" t="str">
        <f>HYPERLINK("https://www.youtube.com/watch?v=t2GrmD2Lhe0")</f>
        <v>https://www.youtube.com/watch?v=t2GrmD2Lhe0</v>
      </c>
      <c r="AO455" s="2"/>
      <c r="AP455" s="3"/>
      <c r="AQ455" s="3"/>
      <c r="AR455" s="3"/>
      <c r="AS455" s="3"/>
    </row>
    <row r="456" spans="1:45" ht="15">
      <c r="A456" s="66" t="s">
        <v>640</v>
      </c>
      <c r="B456" s="67"/>
      <c r="C456" s="67"/>
      <c r="D456" s="68"/>
      <c r="E456" s="70"/>
      <c r="F456" s="100" t="str">
        <f>HYPERLINK("https://i.ytimg.com/vi/SyLXlRowO5E/default.jpg")</f>
        <v>https://i.ytimg.com/vi/SyLXlRowO5E/default.jpg</v>
      </c>
      <c r="G456" s="67"/>
      <c r="H456" s="71"/>
      <c r="I456" s="72"/>
      <c r="J456" s="72"/>
      <c r="K456" s="71" t="s">
        <v>1300</v>
      </c>
      <c r="L456" s="75"/>
      <c r="M456" s="76">
        <v>2994.542724609375</v>
      </c>
      <c r="N456" s="76">
        <v>2030.443359375</v>
      </c>
      <c r="O456" s="77"/>
      <c r="P456" s="78"/>
      <c r="Q456" s="78"/>
      <c r="R456" s="82"/>
      <c r="S456" s="82"/>
      <c r="T456" s="82"/>
      <c r="U456" s="82"/>
      <c r="V456" s="52"/>
      <c r="W456" s="52"/>
      <c r="X456" s="52"/>
      <c r="Y456" s="52"/>
      <c r="Z456" s="51"/>
      <c r="AA456" s="73">
        <v>456</v>
      </c>
      <c r="AB456" s="73"/>
      <c r="AC456" s="74"/>
      <c r="AD456" s="80" t="s">
        <v>1300</v>
      </c>
      <c r="AE456" s="80" t="s">
        <v>2680</v>
      </c>
      <c r="AF456" s="80" t="s">
        <v>3470</v>
      </c>
      <c r="AG456" s="80" t="s">
        <v>4178</v>
      </c>
      <c r="AH456" s="80" t="s">
        <v>5009</v>
      </c>
      <c r="AI456" s="80">
        <v>775</v>
      </c>
      <c r="AJ456" s="80">
        <v>0</v>
      </c>
      <c r="AK456" s="80">
        <v>5</v>
      </c>
      <c r="AL456" s="80">
        <v>0</v>
      </c>
      <c r="AM456" s="80" t="s">
        <v>5614</v>
      </c>
      <c r="AN456" s="102" t="str">
        <f>HYPERLINK("https://www.youtube.com/watch?v=SyLXlRowO5E")</f>
        <v>https://www.youtube.com/watch?v=SyLXlRowO5E</v>
      </c>
      <c r="AO456" s="2"/>
      <c r="AP456" s="3"/>
      <c r="AQ456" s="3"/>
      <c r="AR456" s="3"/>
      <c r="AS456" s="3"/>
    </row>
    <row r="457" spans="1:45" ht="15">
      <c r="A457" s="66" t="s">
        <v>641</v>
      </c>
      <c r="B457" s="67"/>
      <c r="C457" s="67"/>
      <c r="D457" s="68"/>
      <c r="E457" s="70"/>
      <c r="F457" s="100" t="str">
        <f>HYPERLINK("https://i.ytimg.com/vi/seGR02W_6lg/default.jpg")</f>
        <v>https://i.ytimg.com/vi/seGR02W_6lg/default.jpg</v>
      </c>
      <c r="G457" s="67"/>
      <c r="H457" s="71"/>
      <c r="I457" s="72"/>
      <c r="J457" s="72"/>
      <c r="K457" s="71" t="s">
        <v>1690</v>
      </c>
      <c r="L457" s="75"/>
      <c r="M457" s="76">
        <v>2894.23779296875</v>
      </c>
      <c r="N457" s="76">
        <v>2180.663818359375</v>
      </c>
      <c r="O457" s="77"/>
      <c r="P457" s="78"/>
      <c r="Q457" s="78"/>
      <c r="R457" s="82"/>
      <c r="S457" s="82"/>
      <c r="T457" s="82"/>
      <c r="U457" s="82"/>
      <c r="V457" s="52"/>
      <c r="W457" s="52"/>
      <c r="X457" s="52"/>
      <c r="Y457" s="52"/>
      <c r="Z457" s="51"/>
      <c r="AA457" s="73">
        <v>457</v>
      </c>
      <c r="AB457" s="73"/>
      <c r="AC457" s="74"/>
      <c r="AD457" s="80" t="s">
        <v>1690</v>
      </c>
      <c r="AE457" s="80"/>
      <c r="AF457" s="80"/>
      <c r="AG457" s="80" t="s">
        <v>4179</v>
      </c>
      <c r="AH457" s="80" t="s">
        <v>5010</v>
      </c>
      <c r="AI457" s="80">
        <v>126</v>
      </c>
      <c r="AJ457" s="80">
        <v>0</v>
      </c>
      <c r="AK457" s="80">
        <v>9</v>
      </c>
      <c r="AL457" s="80">
        <v>0</v>
      </c>
      <c r="AM457" s="80" t="s">
        <v>5614</v>
      </c>
      <c r="AN457" s="102" t="str">
        <f>HYPERLINK("https://www.youtube.com/watch?v=seGR02W_6lg")</f>
        <v>https://www.youtube.com/watch?v=seGR02W_6lg</v>
      </c>
      <c r="AO457" s="2"/>
      <c r="AP457" s="3"/>
      <c r="AQ457" s="3"/>
      <c r="AR457" s="3"/>
      <c r="AS457" s="3"/>
    </row>
    <row r="458" spans="1:45" ht="15">
      <c r="A458" s="66" t="s">
        <v>642</v>
      </c>
      <c r="B458" s="67"/>
      <c r="C458" s="67"/>
      <c r="D458" s="68"/>
      <c r="E458" s="70"/>
      <c r="F458" s="100" t="str">
        <f>HYPERLINK("https://i.ytimg.com/vi/_LElWqXi7Ag/default.jpg")</f>
        <v>https://i.ytimg.com/vi/_LElWqXi7Ag/default.jpg</v>
      </c>
      <c r="G458" s="67"/>
      <c r="H458" s="71"/>
      <c r="I458" s="72"/>
      <c r="J458" s="72"/>
      <c r="K458" s="71" t="s">
        <v>1691</v>
      </c>
      <c r="L458" s="75"/>
      <c r="M458" s="76">
        <v>2979.385986328125</v>
      </c>
      <c r="N458" s="76">
        <v>2073.365478515625</v>
      </c>
      <c r="O458" s="77"/>
      <c r="P458" s="78"/>
      <c r="Q458" s="78"/>
      <c r="R458" s="82"/>
      <c r="S458" s="82"/>
      <c r="T458" s="82"/>
      <c r="U458" s="82"/>
      <c r="V458" s="52"/>
      <c r="W458" s="52"/>
      <c r="X458" s="52"/>
      <c r="Y458" s="52"/>
      <c r="Z458" s="51"/>
      <c r="AA458" s="73">
        <v>458</v>
      </c>
      <c r="AB458" s="73"/>
      <c r="AC458" s="74"/>
      <c r="AD458" s="80" t="s">
        <v>1691</v>
      </c>
      <c r="AE458" s="80" t="s">
        <v>2681</v>
      </c>
      <c r="AF458" s="80" t="s">
        <v>3471</v>
      </c>
      <c r="AG458" s="80" t="s">
        <v>4180</v>
      </c>
      <c r="AH458" s="80" t="s">
        <v>5011</v>
      </c>
      <c r="AI458" s="80">
        <v>134930</v>
      </c>
      <c r="AJ458" s="80">
        <v>44</v>
      </c>
      <c r="AK458" s="80">
        <v>1739</v>
      </c>
      <c r="AL458" s="80">
        <v>61</v>
      </c>
      <c r="AM458" s="80" t="s">
        <v>5614</v>
      </c>
      <c r="AN458" s="102" t="str">
        <f>HYPERLINK("https://www.youtube.com/watch?v=_LElWqXi7Ag")</f>
        <v>https://www.youtube.com/watch?v=_LElWqXi7Ag</v>
      </c>
      <c r="AO458" s="2"/>
      <c r="AP458" s="3"/>
      <c r="AQ458" s="3"/>
      <c r="AR458" s="3"/>
      <c r="AS458" s="3"/>
    </row>
    <row r="459" spans="1:45" ht="15">
      <c r="A459" s="66" t="s">
        <v>643</v>
      </c>
      <c r="B459" s="67"/>
      <c r="C459" s="67"/>
      <c r="D459" s="68"/>
      <c r="E459" s="70"/>
      <c r="F459" s="100" t="str">
        <f>HYPERLINK("https://i.ytimg.com/vi/XRuJESZvFrs/default.jpg")</f>
        <v>https://i.ytimg.com/vi/XRuJESZvFrs/default.jpg</v>
      </c>
      <c r="G459" s="67"/>
      <c r="H459" s="71"/>
      <c r="I459" s="72"/>
      <c r="J459" s="72"/>
      <c r="K459" s="71" t="s">
        <v>1692</v>
      </c>
      <c r="L459" s="75"/>
      <c r="M459" s="76">
        <v>2931.669189453125</v>
      </c>
      <c r="N459" s="76">
        <v>2188.545166015625</v>
      </c>
      <c r="O459" s="77"/>
      <c r="P459" s="78"/>
      <c r="Q459" s="78"/>
      <c r="R459" s="82"/>
      <c r="S459" s="82"/>
      <c r="T459" s="82"/>
      <c r="U459" s="82"/>
      <c r="V459" s="52"/>
      <c r="W459" s="52"/>
      <c r="X459" s="52"/>
      <c r="Y459" s="52"/>
      <c r="Z459" s="51"/>
      <c r="AA459" s="73">
        <v>459</v>
      </c>
      <c r="AB459" s="73"/>
      <c r="AC459" s="74"/>
      <c r="AD459" s="80" t="s">
        <v>1692</v>
      </c>
      <c r="AE459" s="80" t="s">
        <v>2682</v>
      </c>
      <c r="AF459" s="80"/>
      <c r="AG459" s="80" t="s">
        <v>4181</v>
      </c>
      <c r="AH459" s="80" t="s">
        <v>5012</v>
      </c>
      <c r="AI459" s="80">
        <v>5361</v>
      </c>
      <c r="AJ459" s="80">
        <v>2</v>
      </c>
      <c r="AK459" s="80">
        <v>46</v>
      </c>
      <c r="AL459" s="80">
        <v>6</v>
      </c>
      <c r="AM459" s="80" t="s">
        <v>5614</v>
      </c>
      <c r="AN459" s="102" t="str">
        <f>HYPERLINK("https://www.youtube.com/watch?v=XRuJESZvFrs")</f>
        <v>https://www.youtube.com/watch?v=XRuJESZvFrs</v>
      </c>
      <c r="AO459" s="2"/>
      <c r="AP459" s="3"/>
      <c r="AQ459" s="3"/>
      <c r="AR459" s="3"/>
      <c r="AS459" s="3"/>
    </row>
    <row r="460" spans="1:45" ht="15">
      <c r="A460" s="66" t="s">
        <v>644</v>
      </c>
      <c r="B460" s="67"/>
      <c r="C460" s="67"/>
      <c r="D460" s="68"/>
      <c r="E460" s="70"/>
      <c r="F460" s="100" t="str">
        <f>HYPERLINK("https://i.ytimg.com/vi/fikSr6ff934/default.jpg")</f>
        <v>https://i.ytimg.com/vi/fikSr6ff934/default.jpg</v>
      </c>
      <c r="G460" s="67"/>
      <c r="H460" s="71"/>
      <c r="I460" s="72"/>
      <c r="J460" s="72"/>
      <c r="K460" s="71" t="s">
        <v>1693</v>
      </c>
      <c r="L460" s="75"/>
      <c r="M460" s="76">
        <v>2703.990966796875</v>
      </c>
      <c r="N460" s="76">
        <v>2344.470947265625</v>
      </c>
      <c r="O460" s="77"/>
      <c r="P460" s="78"/>
      <c r="Q460" s="78"/>
      <c r="R460" s="82"/>
      <c r="S460" s="82"/>
      <c r="T460" s="82"/>
      <c r="U460" s="82"/>
      <c r="V460" s="52"/>
      <c r="W460" s="52"/>
      <c r="X460" s="52"/>
      <c r="Y460" s="52"/>
      <c r="Z460" s="51"/>
      <c r="AA460" s="73">
        <v>460</v>
      </c>
      <c r="AB460" s="73"/>
      <c r="AC460" s="74"/>
      <c r="AD460" s="80" t="s">
        <v>1693</v>
      </c>
      <c r="AE460" s="80" t="s">
        <v>2683</v>
      </c>
      <c r="AF460" s="80" t="s">
        <v>3472</v>
      </c>
      <c r="AG460" s="80" t="s">
        <v>4182</v>
      </c>
      <c r="AH460" s="80" t="s">
        <v>5013</v>
      </c>
      <c r="AI460" s="80">
        <v>1387795</v>
      </c>
      <c r="AJ460" s="80">
        <v>1669</v>
      </c>
      <c r="AK460" s="80">
        <v>30348</v>
      </c>
      <c r="AL460" s="80">
        <v>531</v>
      </c>
      <c r="AM460" s="80" t="s">
        <v>5614</v>
      </c>
      <c r="AN460" s="102" t="str">
        <f>HYPERLINK("https://www.youtube.com/watch?v=fikSr6ff934")</f>
        <v>https://www.youtube.com/watch?v=fikSr6ff934</v>
      </c>
      <c r="AO460" s="2"/>
      <c r="AP460" s="3"/>
      <c r="AQ460" s="3"/>
      <c r="AR460" s="3"/>
      <c r="AS460" s="3"/>
    </row>
    <row r="461" spans="1:45" ht="15">
      <c r="A461" s="66" t="s">
        <v>645</v>
      </c>
      <c r="B461" s="67"/>
      <c r="C461" s="67"/>
      <c r="D461" s="68"/>
      <c r="E461" s="70"/>
      <c r="F461" s="100" t="str">
        <f>HYPERLINK("https://i.ytimg.com/vi/CIdQcSsnFEw/default.jpg")</f>
        <v>https://i.ytimg.com/vi/CIdQcSsnFEw/default.jpg</v>
      </c>
      <c r="G461" s="67"/>
      <c r="H461" s="71"/>
      <c r="I461" s="72"/>
      <c r="J461" s="72"/>
      <c r="K461" s="71" t="s">
        <v>1694</v>
      </c>
      <c r="L461" s="75"/>
      <c r="M461" s="76">
        <v>2578.47021484375</v>
      </c>
      <c r="N461" s="76">
        <v>2622.07763671875</v>
      </c>
      <c r="O461" s="77"/>
      <c r="P461" s="78"/>
      <c r="Q461" s="78"/>
      <c r="R461" s="82"/>
      <c r="S461" s="82"/>
      <c r="T461" s="82"/>
      <c r="U461" s="82"/>
      <c r="V461" s="52"/>
      <c r="W461" s="52"/>
      <c r="X461" s="52"/>
      <c r="Y461" s="52"/>
      <c r="Z461" s="51"/>
      <c r="AA461" s="73">
        <v>461</v>
      </c>
      <c r="AB461" s="73"/>
      <c r="AC461" s="74"/>
      <c r="AD461" s="80" t="s">
        <v>1694</v>
      </c>
      <c r="AE461" s="80" t="s">
        <v>2684</v>
      </c>
      <c r="AF461" s="80" t="s">
        <v>3473</v>
      </c>
      <c r="AG461" s="80" t="s">
        <v>4183</v>
      </c>
      <c r="AH461" s="80" t="s">
        <v>5014</v>
      </c>
      <c r="AI461" s="80">
        <v>146606</v>
      </c>
      <c r="AJ461" s="80">
        <v>242</v>
      </c>
      <c r="AK461" s="80">
        <v>4546</v>
      </c>
      <c r="AL461" s="80">
        <v>109</v>
      </c>
      <c r="AM461" s="80" t="s">
        <v>5614</v>
      </c>
      <c r="AN461" s="102" t="str">
        <f>HYPERLINK("https://www.youtube.com/watch?v=CIdQcSsnFEw")</f>
        <v>https://www.youtube.com/watch?v=CIdQcSsnFEw</v>
      </c>
      <c r="AO461" s="2"/>
      <c r="AP461" s="3"/>
      <c r="AQ461" s="3"/>
      <c r="AR461" s="3"/>
      <c r="AS461" s="3"/>
    </row>
    <row r="462" spans="1:45" ht="15">
      <c r="A462" s="66" t="s">
        <v>646</v>
      </c>
      <c r="B462" s="67"/>
      <c r="C462" s="67"/>
      <c r="D462" s="68"/>
      <c r="E462" s="70"/>
      <c r="F462" s="100" t="str">
        <f>HYPERLINK("https://i.ytimg.com/vi/pZbOwjf7EjU/default.jpg")</f>
        <v>https://i.ytimg.com/vi/pZbOwjf7EjU/default.jpg</v>
      </c>
      <c r="G462" s="67"/>
      <c r="H462" s="71"/>
      <c r="I462" s="72"/>
      <c r="J462" s="72"/>
      <c r="K462" s="71" t="s">
        <v>1695</v>
      </c>
      <c r="L462" s="75"/>
      <c r="M462" s="76">
        <v>3921.63427734375</v>
      </c>
      <c r="N462" s="76">
        <v>4651.2421875</v>
      </c>
      <c r="O462" s="77"/>
      <c r="P462" s="78"/>
      <c r="Q462" s="78"/>
      <c r="R462" s="82"/>
      <c r="S462" s="82"/>
      <c r="T462" s="82"/>
      <c r="U462" s="82"/>
      <c r="V462" s="52"/>
      <c r="W462" s="52"/>
      <c r="X462" s="52"/>
      <c r="Y462" s="52"/>
      <c r="Z462" s="51"/>
      <c r="AA462" s="73">
        <v>462</v>
      </c>
      <c r="AB462" s="73"/>
      <c r="AC462" s="74"/>
      <c r="AD462" s="80" t="s">
        <v>1695</v>
      </c>
      <c r="AE462" s="80" t="s">
        <v>2685</v>
      </c>
      <c r="AF462" s="80" t="s">
        <v>3474</v>
      </c>
      <c r="AG462" s="80" t="s">
        <v>4184</v>
      </c>
      <c r="AH462" s="80" t="s">
        <v>5015</v>
      </c>
      <c r="AI462" s="80">
        <v>22757</v>
      </c>
      <c r="AJ462" s="80">
        <v>10</v>
      </c>
      <c r="AK462" s="80">
        <v>352</v>
      </c>
      <c r="AL462" s="80">
        <v>17</v>
      </c>
      <c r="AM462" s="80" t="s">
        <v>5614</v>
      </c>
      <c r="AN462" s="102" t="str">
        <f>HYPERLINK("https://www.youtube.com/watch?v=pZbOwjf7EjU")</f>
        <v>https://www.youtube.com/watch?v=pZbOwjf7EjU</v>
      </c>
      <c r="AO462" s="2"/>
      <c r="AP462" s="3"/>
      <c r="AQ462" s="3"/>
      <c r="AR462" s="3"/>
      <c r="AS462" s="3"/>
    </row>
    <row r="463" spans="1:45" ht="15">
      <c r="A463" s="66" t="s">
        <v>203</v>
      </c>
      <c r="B463" s="67"/>
      <c r="C463" s="67"/>
      <c r="D463" s="68"/>
      <c r="E463" s="70"/>
      <c r="F463" s="100" t="str">
        <f>HYPERLINK("https://i.ytimg.com/vi/uOiqdqVMZVA/default.jpg")</f>
        <v>https://i.ytimg.com/vi/uOiqdqVMZVA/default.jpg</v>
      </c>
      <c r="G463" s="67"/>
      <c r="H463" s="71"/>
      <c r="I463" s="72"/>
      <c r="J463" s="72"/>
      <c r="K463" s="71" t="s">
        <v>1696</v>
      </c>
      <c r="L463" s="75"/>
      <c r="M463" s="76">
        <v>5990.1826171875</v>
      </c>
      <c r="N463" s="76">
        <v>3720.313232421875</v>
      </c>
      <c r="O463" s="77"/>
      <c r="P463" s="78"/>
      <c r="Q463" s="78"/>
      <c r="R463" s="82"/>
      <c r="S463" s="82"/>
      <c r="T463" s="82"/>
      <c r="U463" s="82"/>
      <c r="V463" s="52"/>
      <c r="W463" s="52"/>
      <c r="X463" s="52"/>
      <c r="Y463" s="52"/>
      <c r="Z463" s="51"/>
      <c r="AA463" s="73">
        <v>463</v>
      </c>
      <c r="AB463" s="73"/>
      <c r="AC463" s="74"/>
      <c r="AD463" s="80" t="s">
        <v>1696</v>
      </c>
      <c r="AE463" s="80" t="s">
        <v>2686</v>
      </c>
      <c r="AF463" s="80"/>
      <c r="AG463" s="80" t="s">
        <v>4185</v>
      </c>
      <c r="AH463" s="80" t="s">
        <v>5016</v>
      </c>
      <c r="AI463" s="80">
        <v>122</v>
      </c>
      <c r="AJ463" s="80">
        <v>0</v>
      </c>
      <c r="AK463" s="80">
        <v>2</v>
      </c>
      <c r="AL463" s="80">
        <v>0</v>
      </c>
      <c r="AM463" s="80" t="s">
        <v>5614</v>
      </c>
      <c r="AN463" s="102" t="str">
        <f>HYPERLINK("https://www.youtube.com/watch?v=uOiqdqVMZVA")</f>
        <v>https://www.youtube.com/watch?v=uOiqdqVMZVA</v>
      </c>
      <c r="AO463" s="2"/>
      <c r="AP463" s="3"/>
      <c r="AQ463" s="3"/>
      <c r="AR463" s="3"/>
      <c r="AS463" s="3"/>
    </row>
    <row r="464" spans="1:45" ht="15">
      <c r="A464" s="66" t="s">
        <v>647</v>
      </c>
      <c r="B464" s="67"/>
      <c r="C464" s="67"/>
      <c r="D464" s="68"/>
      <c r="E464" s="70"/>
      <c r="F464" s="100" t="str">
        <f>HYPERLINK("https://i.ytimg.com/vi/Fc7OgjwhLMg/default.jpg")</f>
        <v>https://i.ytimg.com/vi/Fc7OgjwhLMg/default.jpg</v>
      </c>
      <c r="G464" s="67"/>
      <c r="H464" s="71"/>
      <c r="I464" s="72"/>
      <c r="J464" s="72"/>
      <c r="K464" s="71" t="s">
        <v>1697</v>
      </c>
      <c r="L464" s="75"/>
      <c r="M464" s="76">
        <v>3928.770263671875</v>
      </c>
      <c r="N464" s="76">
        <v>4592.93701171875</v>
      </c>
      <c r="O464" s="77"/>
      <c r="P464" s="78"/>
      <c r="Q464" s="78"/>
      <c r="R464" s="82"/>
      <c r="S464" s="82"/>
      <c r="T464" s="82"/>
      <c r="U464" s="82"/>
      <c r="V464" s="52"/>
      <c r="W464" s="52"/>
      <c r="X464" s="52"/>
      <c r="Y464" s="52"/>
      <c r="Z464" s="51"/>
      <c r="AA464" s="73">
        <v>464</v>
      </c>
      <c r="AB464" s="73"/>
      <c r="AC464" s="74"/>
      <c r="AD464" s="80" t="s">
        <v>1697</v>
      </c>
      <c r="AE464" s="80" t="s">
        <v>2687</v>
      </c>
      <c r="AF464" s="80" t="s">
        <v>3475</v>
      </c>
      <c r="AG464" s="80" t="s">
        <v>4186</v>
      </c>
      <c r="AH464" s="80" t="s">
        <v>5017</v>
      </c>
      <c r="AI464" s="80">
        <v>224082</v>
      </c>
      <c r="AJ464" s="80">
        <v>54</v>
      </c>
      <c r="AK464" s="80">
        <v>2930</v>
      </c>
      <c r="AL464" s="80">
        <v>140</v>
      </c>
      <c r="AM464" s="80" t="s">
        <v>5614</v>
      </c>
      <c r="AN464" s="102" t="str">
        <f>HYPERLINK("https://www.youtube.com/watch?v=Fc7OgjwhLMg")</f>
        <v>https://www.youtube.com/watch?v=Fc7OgjwhLMg</v>
      </c>
      <c r="AO464" s="2"/>
      <c r="AP464" s="3"/>
      <c r="AQ464" s="3"/>
      <c r="AR464" s="3"/>
      <c r="AS464" s="3"/>
    </row>
    <row r="465" spans="1:45" ht="15">
      <c r="A465" s="66" t="s">
        <v>648</v>
      </c>
      <c r="B465" s="67"/>
      <c r="C465" s="67"/>
      <c r="D465" s="68"/>
      <c r="E465" s="70"/>
      <c r="F465" s="100" t="str">
        <f>HYPERLINK("https://i.ytimg.com/vi/oW6j0_Z65aE/default.jpg")</f>
        <v>https://i.ytimg.com/vi/oW6j0_Z65aE/default.jpg</v>
      </c>
      <c r="G465" s="67"/>
      <c r="H465" s="71"/>
      <c r="I465" s="72"/>
      <c r="J465" s="72"/>
      <c r="K465" s="71" t="s">
        <v>1698</v>
      </c>
      <c r="L465" s="75"/>
      <c r="M465" s="76">
        <v>2738.5478515625</v>
      </c>
      <c r="N465" s="76">
        <v>3230.327880859375</v>
      </c>
      <c r="O465" s="77"/>
      <c r="P465" s="78"/>
      <c r="Q465" s="78"/>
      <c r="R465" s="82"/>
      <c r="S465" s="82"/>
      <c r="T465" s="82"/>
      <c r="U465" s="82"/>
      <c r="V465" s="52"/>
      <c r="W465" s="52"/>
      <c r="X465" s="52"/>
      <c r="Y465" s="52"/>
      <c r="Z465" s="51"/>
      <c r="AA465" s="73">
        <v>465</v>
      </c>
      <c r="AB465" s="73"/>
      <c r="AC465" s="74"/>
      <c r="AD465" s="80" t="s">
        <v>1698</v>
      </c>
      <c r="AE465" s="80" t="s">
        <v>2688</v>
      </c>
      <c r="AF465" s="80" t="s">
        <v>3476</v>
      </c>
      <c r="AG465" s="80" t="s">
        <v>4187</v>
      </c>
      <c r="AH465" s="80" t="s">
        <v>5018</v>
      </c>
      <c r="AI465" s="80">
        <v>66386</v>
      </c>
      <c r="AJ465" s="80">
        <v>0</v>
      </c>
      <c r="AK465" s="80">
        <v>118</v>
      </c>
      <c r="AL465" s="80">
        <v>4</v>
      </c>
      <c r="AM465" s="80" t="s">
        <v>5614</v>
      </c>
      <c r="AN465" s="102" t="str">
        <f>HYPERLINK("https://www.youtube.com/watch?v=oW6j0_Z65aE")</f>
        <v>https://www.youtube.com/watch?v=oW6j0_Z65aE</v>
      </c>
      <c r="AO465" s="2"/>
      <c r="AP465" s="3"/>
      <c r="AQ465" s="3"/>
      <c r="AR465" s="3"/>
      <c r="AS465" s="3"/>
    </row>
    <row r="466" spans="1:45" ht="15">
      <c r="A466" s="66" t="s">
        <v>649</v>
      </c>
      <c r="B466" s="67"/>
      <c r="C466" s="67"/>
      <c r="D466" s="68"/>
      <c r="E466" s="70"/>
      <c r="F466" s="100" t="str">
        <f>HYPERLINK("https://i.ytimg.com/vi/YwARqOcVfLE/default.jpg")</f>
        <v>https://i.ytimg.com/vi/YwARqOcVfLE/default.jpg</v>
      </c>
      <c r="G466" s="67"/>
      <c r="H466" s="71"/>
      <c r="I466" s="72"/>
      <c r="J466" s="72"/>
      <c r="K466" s="71" t="s">
        <v>1699</v>
      </c>
      <c r="L466" s="75"/>
      <c r="M466" s="76">
        <v>5219.64111328125</v>
      </c>
      <c r="N466" s="76">
        <v>2955.315185546875</v>
      </c>
      <c r="O466" s="77"/>
      <c r="P466" s="78"/>
      <c r="Q466" s="78"/>
      <c r="R466" s="82"/>
      <c r="S466" s="82"/>
      <c r="T466" s="82"/>
      <c r="U466" s="82"/>
      <c r="V466" s="52"/>
      <c r="W466" s="52"/>
      <c r="X466" s="52"/>
      <c r="Y466" s="52"/>
      <c r="Z466" s="51"/>
      <c r="AA466" s="73">
        <v>466</v>
      </c>
      <c r="AB466" s="73"/>
      <c r="AC466" s="74"/>
      <c r="AD466" s="80" t="s">
        <v>1699</v>
      </c>
      <c r="AE466" s="80" t="s">
        <v>2689</v>
      </c>
      <c r="AF466" s="80" t="s">
        <v>3477</v>
      </c>
      <c r="AG466" s="80" t="s">
        <v>4188</v>
      </c>
      <c r="AH466" s="80" t="s">
        <v>5019</v>
      </c>
      <c r="AI466" s="80">
        <v>1291</v>
      </c>
      <c r="AJ466" s="80">
        <v>1</v>
      </c>
      <c r="AK466" s="80">
        <v>24</v>
      </c>
      <c r="AL466" s="80">
        <v>0</v>
      </c>
      <c r="AM466" s="80" t="s">
        <v>5614</v>
      </c>
      <c r="AN466" s="102" t="str">
        <f>HYPERLINK("https://www.youtube.com/watch?v=YwARqOcVfLE")</f>
        <v>https://www.youtube.com/watch?v=YwARqOcVfLE</v>
      </c>
      <c r="AO466" s="2"/>
      <c r="AP466" s="3"/>
      <c r="AQ466" s="3"/>
      <c r="AR466" s="3"/>
      <c r="AS466" s="3"/>
    </row>
    <row r="467" spans="1:45" ht="15">
      <c r="A467" s="66" t="s">
        <v>650</v>
      </c>
      <c r="B467" s="67"/>
      <c r="C467" s="67"/>
      <c r="D467" s="68"/>
      <c r="E467" s="70"/>
      <c r="F467" s="100" t="str">
        <f>HYPERLINK("https://i.ytimg.com/vi/RsEuZcTt7a8/default.jpg")</f>
        <v>https://i.ytimg.com/vi/RsEuZcTt7a8/default.jpg</v>
      </c>
      <c r="G467" s="67"/>
      <c r="H467" s="71"/>
      <c r="I467" s="72"/>
      <c r="J467" s="72"/>
      <c r="K467" s="71" t="s">
        <v>1700</v>
      </c>
      <c r="L467" s="75"/>
      <c r="M467" s="76">
        <v>3829.06982421875</v>
      </c>
      <c r="N467" s="76">
        <v>3145.7548828125</v>
      </c>
      <c r="O467" s="77"/>
      <c r="P467" s="78"/>
      <c r="Q467" s="78"/>
      <c r="R467" s="82"/>
      <c r="S467" s="82"/>
      <c r="T467" s="82"/>
      <c r="U467" s="82"/>
      <c r="V467" s="52"/>
      <c r="W467" s="52"/>
      <c r="X467" s="52"/>
      <c r="Y467" s="52"/>
      <c r="Z467" s="51"/>
      <c r="AA467" s="73">
        <v>467</v>
      </c>
      <c r="AB467" s="73"/>
      <c r="AC467" s="74"/>
      <c r="AD467" s="80" t="s">
        <v>1700</v>
      </c>
      <c r="AE467" s="80"/>
      <c r="AF467" s="80"/>
      <c r="AG467" s="80" t="s">
        <v>4189</v>
      </c>
      <c r="AH467" s="80" t="s">
        <v>5020</v>
      </c>
      <c r="AI467" s="80">
        <v>22826</v>
      </c>
      <c r="AJ467" s="80">
        <v>8</v>
      </c>
      <c r="AK467" s="80">
        <v>186</v>
      </c>
      <c r="AL467" s="80">
        <v>11</v>
      </c>
      <c r="AM467" s="80" t="s">
        <v>5614</v>
      </c>
      <c r="AN467" s="102" t="str">
        <f>HYPERLINK("https://www.youtube.com/watch?v=RsEuZcTt7a8")</f>
        <v>https://www.youtube.com/watch?v=RsEuZcTt7a8</v>
      </c>
      <c r="AO467" s="2"/>
      <c r="AP467" s="3"/>
      <c r="AQ467" s="3"/>
      <c r="AR467" s="3"/>
      <c r="AS467" s="3"/>
    </row>
    <row r="468" spans="1:45" ht="15">
      <c r="A468" s="66" t="s">
        <v>651</v>
      </c>
      <c r="B468" s="67"/>
      <c r="C468" s="67"/>
      <c r="D468" s="68"/>
      <c r="E468" s="70"/>
      <c r="F468" s="100" t="str">
        <f>HYPERLINK("https://i.ytimg.com/vi/kIAmJ_5Gdt4/default.jpg")</f>
        <v>https://i.ytimg.com/vi/kIAmJ_5Gdt4/default.jpg</v>
      </c>
      <c r="G468" s="67"/>
      <c r="H468" s="71"/>
      <c r="I468" s="72"/>
      <c r="J468" s="72"/>
      <c r="K468" s="71" t="s">
        <v>1701</v>
      </c>
      <c r="L468" s="75"/>
      <c r="M468" s="76">
        <v>4470.810546875</v>
      </c>
      <c r="N468" s="76">
        <v>3886.935302734375</v>
      </c>
      <c r="O468" s="77"/>
      <c r="P468" s="78"/>
      <c r="Q468" s="78"/>
      <c r="R468" s="82"/>
      <c r="S468" s="82"/>
      <c r="T468" s="82"/>
      <c r="U468" s="82"/>
      <c r="V468" s="52"/>
      <c r="W468" s="52"/>
      <c r="X468" s="52"/>
      <c r="Y468" s="52"/>
      <c r="Z468" s="51"/>
      <c r="AA468" s="73">
        <v>468</v>
      </c>
      <c r="AB468" s="73"/>
      <c r="AC468" s="74"/>
      <c r="AD468" s="80" t="s">
        <v>1701</v>
      </c>
      <c r="AE468" s="80" t="s">
        <v>2690</v>
      </c>
      <c r="AF468" s="80" t="s">
        <v>3478</v>
      </c>
      <c r="AG468" s="80" t="s">
        <v>3887</v>
      </c>
      <c r="AH468" s="80" t="s">
        <v>5021</v>
      </c>
      <c r="AI468" s="80">
        <v>2568</v>
      </c>
      <c r="AJ468" s="80">
        <v>0</v>
      </c>
      <c r="AK468" s="80">
        <v>23</v>
      </c>
      <c r="AL468" s="80">
        <v>0</v>
      </c>
      <c r="AM468" s="80" t="s">
        <v>5614</v>
      </c>
      <c r="AN468" s="102" t="str">
        <f>HYPERLINK("https://www.youtube.com/watch?v=kIAmJ_5Gdt4")</f>
        <v>https://www.youtube.com/watch?v=kIAmJ_5Gdt4</v>
      </c>
      <c r="AO468" s="2"/>
      <c r="AP468" s="3"/>
      <c r="AQ468" s="3"/>
      <c r="AR468" s="3"/>
      <c r="AS468" s="3"/>
    </row>
    <row r="469" spans="1:45" ht="15">
      <c r="A469" s="66" t="s">
        <v>652</v>
      </c>
      <c r="B469" s="67"/>
      <c r="C469" s="67"/>
      <c r="D469" s="68"/>
      <c r="E469" s="70"/>
      <c r="F469" s="100" t="str">
        <f>HYPERLINK("https://i.ytimg.com/vi/vswQ8XnnR0E/default.jpg")</f>
        <v>https://i.ytimg.com/vi/vswQ8XnnR0E/default.jpg</v>
      </c>
      <c r="G469" s="67"/>
      <c r="H469" s="71"/>
      <c r="I469" s="72"/>
      <c r="J469" s="72"/>
      <c r="K469" s="71" t="s">
        <v>1702</v>
      </c>
      <c r="L469" s="75"/>
      <c r="M469" s="76">
        <v>3380.89306640625</v>
      </c>
      <c r="N469" s="76">
        <v>3577.4775390625</v>
      </c>
      <c r="O469" s="77"/>
      <c r="P469" s="78"/>
      <c r="Q469" s="78"/>
      <c r="R469" s="82"/>
      <c r="S469" s="82"/>
      <c r="T469" s="82"/>
      <c r="U469" s="82"/>
      <c r="V469" s="52"/>
      <c r="W469" s="52"/>
      <c r="X469" s="52"/>
      <c r="Y469" s="52"/>
      <c r="Z469" s="51"/>
      <c r="AA469" s="73">
        <v>469</v>
      </c>
      <c r="AB469" s="73"/>
      <c r="AC469" s="74"/>
      <c r="AD469" s="80" t="s">
        <v>1702</v>
      </c>
      <c r="AE469" s="80" t="s">
        <v>2691</v>
      </c>
      <c r="AF469" s="80"/>
      <c r="AG469" s="80" t="s">
        <v>4190</v>
      </c>
      <c r="AH469" s="80" t="s">
        <v>5022</v>
      </c>
      <c r="AI469" s="80">
        <v>1845</v>
      </c>
      <c r="AJ469" s="80">
        <v>3</v>
      </c>
      <c r="AK469" s="80">
        <v>14</v>
      </c>
      <c r="AL469" s="80">
        <v>0</v>
      </c>
      <c r="AM469" s="80" t="s">
        <v>5614</v>
      </c>
      <c r="AN469" s="102" t="str">
        <f>HYPERLINK("https://www.youtube.com/watch?v=vswQ8XnnR0E")</f>
        <v>https://www.youtube.com/watch?v=vswQ8XnnR0E</v>
      </c>
      <c r="AO469" s="2"/>
      <c r="AP469" s="3"/>
      <c r="AQ469" s="3"/>
      <c r="AR469" s="3"/>
      <c r="AS469" s="3"/>
    </row>
    <row r="470" spans="1:45" ht="15">
      <c r="A470" s="66" t="s">
        <v>653</v>
      </c>
      <c r="B470" s="67"/>
      <c r="C470" s="67"/>
      <c r="D470" s="68"/>
      <c r="E470" s="70"/>
      <c r="F470" s="100" t="str">
        <f>HYPERLINK("https://i.ytimg.com/vi/puQbO1zZ0a8/default.jpg")</f>
        <v>https://i.ytimg.com/vi/puQbO1zZ0a8/default.jpg</v>
      </c>
      <c r="G470" s="67"/>
      <c r="H470" s="71"/>
      <c r="I470" s="72"/>
      <c r="J470" s="72"/>
      <c r="K470" s="71" t="s">
        <v>1703</v>
      </c>
      <c r="L470" s="75"/>
      <c r="M470" s="76">
        <v>3320.8232421875</v>
      </c>
      <c r="N470" s="76">
        <v>2174.538818359375</v>
      </c>
      <c r="O470" s="77"/>
      <c r="P470" s="78"/>
      <c r="Q470" s="78"/>
      <c r="R470" s="82"/>
      <c r="S470" s="82"/>
      <c r="T470" s="82"/>
      <c r="U470" s="82"/>
      <c r="V470" s="52"/>
      <c r="W470" s="52"/>
      <c r="X470" s="52"/>
      <c r="Y470" s="52"/>
      <c r="Z470" s="51"/>
      <c r="AA470" s="73">
        <v>470</v>
      </c>
      <c r="AB470" s="73"/>
      <c r="AC470" s="74"/>
      <c r="AD470" s="80" t="s">
        <v>1703</v>
      </c>
      <c r="AE470" s="80"/>
      <c r="AF470" s="80"/>
      <c r="AG470" s="80" t="s">
        <v>3987</v>
      </c>
      <c r="AH470" s="80" t="s">
        <v>5023</v>
      </c>
      <c r="AI470" s="80">
        <v>486</v>
      </c>
      <c r="AJ470" s="80">
        <v>0</v>
      </c>
      <c r="AK470" s="80">
        <v>0</v>
      </c>
      <c r="AL470" s="80">
        <v>0</v>
      </c>
      <c r="AM470" s="80" t="s">
        <v>5614</v>
      </c>
      <c r="AN470" s="102" t="str">
        <f>HYPERLINK("https://www.youtube.com/watch?v=puQbO1zZ0a8")</f>
        <v>https://www.youtube.com/watch?v=puQbO1zZ0a8</v>
      </c>
      <c r="AO470" s="2"/>
      <c r="AP470" s="3"/>
      <c r="AQ470" s="3"/>
      <c r="AR470" s="3"/>
      <c r="AS470" s="3"/>
    </row>
    <row r="471" spans="1:45" ht="15">
      <c r="A471" s="66" t="s">
        <v>202</v>
      </c>
      <c r="B471" s="67"/>
      <c r="C471" s="67"/>
      <c r="D471" s="68"/>
      <c r="E471" s="70"/>
      <c r="F471" s="100" t="str">
        <f>HYPERLINK("https://i.ytimg.com/vi/MYcRtgWrOqM/default.jpg")</f>
        <v>https://i.ytimg.com/vi/MYcRtgWrOqM/default.jpg</v>
      </c>
      <c r="G471" s="67"/>
      <c r="H471" s="71"/>
      <c r="I471" s="72"/>
      <c r="J471" s="72"/>
      <c r="K471" s="71" t="s">
        <v>1704</v>
      </c>
      <c r="L471" s="75"/>
      <c r="M471" s="76">
        <v>4935.86376953125</v>
      </c>
      <c r="N471" s="76">
        <v>3626.14794921875</v>
      </c>
      <c r="O471" s="77"/>
      <c r="P471" s="78"/>
      <c r="Q471" s="78"/>
      <c r="R471" s="82"/>
      <c r="S471" s="82"/>
      <c r="T471" s="82"/>
      <c r="U471" s="82"/>
      <c r="V471" s="52"/>
      <c r="W471" s="52"/>
      <c r="X471" s="52"/>
      <c r="Y471" s="52"/>
      <c r="Z471" s="51"/>
      <c r="AA471" s="73">
        <v>471</v>
      </c>
      <c r="AB471" s="73"/>
      <c r="AC471" s="74"/>
      <c r="AD471" s="80" t="s">
        <v>1704</v>
      </c>
      <c r="AE471" s="80" t="s">
        <v>2692</v>
      </c>
      <c r="AF471" s="80" t="s">
        <v>3479</v>
      </c>
      <c r="AG471" s="80" t="s">
        <v>3987</v>
      </c>
      <c r="AH471" s="80" t="s">
        <v>5024</v>
      </c>
      <c r="AI471" s="80">
        <v>380</v>
      </c>
      <c r="AJ471" s="80">
        <v>0</v>
      </c>
      <c r="AK471" s="80">
        <v>0</v>
      </c>
      <c r="AL471" s="80">
        <v>0</v>
      </c>
      <c r="AM471" s="80" t="s">
        <v>5614</v>
      </c>
      <c r="AN471" s="102" t="str">
        <f>HYPERLINK("https://www.youtube.com/watch?v=MYcRtgWrOqM")</f>
        <v>https://www.youtube.com/watch?v=MYcRtgWrOqM</v>
      </c>
      <c r="AO471" s="2"/>
      <c r="AP471" s="3"/>
      <c r="AQ471" s="3"/>
      <c r="AR471" s="3"/>
      <c r="AS471" s="3"/>
    </row>
    <row r="472" spans="1:45" ht="15">
      <c r="A472" s="66" t="s">
        <v>654</v>
      </c>
      <c r="B472" s="67"/>
      <c r="C472" s="67"/>
      <c r="D472" s="68"/>
      <c r="E472" s="70"/>
      <c r="F472" s="100" t="str">
        <f>HYPERLINK("https://i.ytimg.com/vi/VXoUUtsNQqs/default.jpg")</f>
        <v>https://i.ytimg.com/vi/VXoUUtsNQqs/default.jpg</v>
      </c>
      <c r="G472" s="67"/>
      <c r="H472" s="71"/>
      <c r="I472" s="72"/>
      <c r="J472" s="72"/>
      <c r="K472" s="71" t="s">
        <v>1705</v>
      </c>
      <c r="L472" s="75"/>
      <c r="M472" s="76">
        <v>2336.471923828125</v>
      </c>
      <c r="N472" s="76">
        <v>3006.744140625</v>
      </c>
      <c r="O472" s="77"/>
      <c r="P472" s="78"/>
      <c r="Q472" s="78"/>
      <c r="R472" s="82"/>
      <c r="S472" s="82"/>
      <c r="T472" s="82"/>
      <c r="U472" s="82"/>
      <c r="V472" s="52"/>
      <c r="W472" s="52"/>
      <c r="X472" s="52"/>
      <c r="Y472" s="52"/>
      <c r="Z472" s="51"/>
      <c r="AA472" s="73">
        <v>472</v>
      </c>
      <c r="AB472" s="73"/>
      <c r="AC472" s="74"/>
      <c r="AD472" s="80" t="s">
        <v>1705</v>
      </c>
      <c r="AE472" s="80" t="s">
        <v>2693</v>
      </c>
      <c r="AF472" s="80" t="s">
        <v>3480</v>
      </c>
      <c r="AG472" s="80" t="s">
        <v>4191</v>
      </c>
      <c r="AH472" s="80" t="s">
        <v>5025</v>
      </c>
      <c r="AI472" s="80">
        <v>412512</v>
      </c>
      <c r="AJ472" s="80">
        <v>79</v>
      </c>
      <c r="AK472" s="80">
        <v>1685</v>
      </c>
      <c r="AL472" s="80">
        <v>133</v>
      </c>
      <c r="AM472" s="80" t="s">
        <v>5614</v>
      </c>
      <c r="AN472" s="102" t="str">
        <f>HYPERLINK("https://www.youtube.com/watch?v=VXoUUtsNQqs")</f>
        <v>https://www.youtube.com/watch?v=VXoUUtsNQqs</v>
      </c>
      <c r="AO472" s="2"/>
      <c r="AP472" s="3"/>
      <c r="AQ472" s="3"/>
      <c r="AR472" s="3"/>
      <c r="AS472" s="3"/>
    </row>
    <row r="473" spans="1:45" ht="15">
      <c r="A473" s="66" t="s">
        <v>655</v>
      </c>
      <c r="B473" s="67"/>
      <c r="C473" s="67"/>
      <c r="D473" s="68"/>
      <c r="E473" s="70"/>
      <c r="F473" s="100" t="str">
        <f>HYPERLINK("https://i.ytimg.com/vi/z-jzFZHRVTw/default.jpg")</f>
        <v>https://i.ytimg.com/vi/z-jzFZHRVTw/default.jpg</v>
      </c>
      <c r="G473" s="67"/>
      <c r="H473" s="71"/>
      <c r="I473" s="72"/>
      <c r="J473" s="72"/>
      <c r="K473" s="71" t="s">
        <v>1706</v>
      </c>
      <c r="L473" s="75"/>
      <c r="M473" s="76">
        <v>3589.8759765625</v>
      </c>
      <c r="N473" s="76">
        <v>1778.28076171875</v>
      </c>
      <c r="O473" s="77"/>
      <c r="P473" s="78"/>
      <c r="Q473" s="78"/>
      <c r="R473" s="82"/>
      <c r="S473" s="82"/>
      <c r="T473" s="82"/>
      <c r="U473" s="82"/>
      <c r="V473" s="52"/>
      <c r="W473" s="52"/>
      <c r="X473" s="52"/>
      <c r="Y473" s="52"/>
      <c r="Z473" s="51"/>
      <c r="AA473" s="73">
        <v>473</v>
      </c>
      <c r="AB473" s="73"/>
      <c r="AC473" s="74"/>
      <c r="AD473" s="80" t="s">
        <v>1706</v>
      </c>
      <c r="AE473" s="80"/>
      <c r="AF473" s="80"/>
      <c r="AG473" s="80" t="s">
        <v>3987</v>
      </c>
      <c r="AH473" s="80" t="s">
        <v>5026</v>
      </c>
      <c r="AI473" s="80">
        <v>287</v>
      </c>
      <c r="AJ473" s="80">
        <v>0</v>
      </c>
      <c r="AK473" s="80">
        <v>0</v>
      </c>
      <c r="AL473" s="80">
        <v>0</v>
      </c>
      <c r="AM473" s="80" t="s">
        <v>5614</v>
      </c>
      <c r="AN473" s="102" t="str">
        <f>HYPERLINK("https://www.youtube.com/watch?v=z-jzFZHRVTw")</f>
        <v>https://www.youtube.com/watch?v=z-jzFZHRVTw</v>
      </c>
      <c r="AO473" s="2"/>
      <c r="AP473" s="3"/>
      <c r="AQ473" s="3"/>
      <c r="AR473" s="3"/>
      <c r="AS473" s="3"/>
    </row>
    <row r="474" spans="1:45" ht="15">
      <c r="A474" s="66" t="s">
        <v>656</v>
      </c>
      <c r="B474" s="67"/>
      <c r="C474" s="67"/>
      <c r="D474" s="68"/>
      <c r="E474" s="70"/>
      <c r="F474" s="100" t="str">
        <f>HYPERLINK("https://i.ytimg.com/vi/ZHbbPZ3bD5U/default.jpg")</f>
        <v>https://i.ytimg.com/vi/ZHbbPZ3bD5U/default.jpg</v>
      </c>
      <c r="G474" s="67"/>
      <c r="H474" s="71"/>
      <c r="I474" s="72"/>
      <c r="J474" s="72"/>
      <c r="K474" s="71" t="s">
        <v>1707</v>
      </c>
      <c r="L474" s="75"/>
      <c r="M474" s="76">
        <v>2272.761474609375</v>
      </c>
      <c r="N474" s="76">
        <v>3099.360107421875</v>
      </c>
      <c r="O474" s="77"/>
      <c r="P474" s="78"/>
      <c r="Q474" s="78"/>
      <c r="R474" s="82"/>
      <c r="S474" s="82"/>
      <c r="T474" s="82"/>
      <c r="U474" s="82"/>
      <c r="V474" s="52"/>
      <c r="W474" s="52"/>
      <c r="X474" s="52"/>
      <c r="Y474" s="52"/>
      <c r="Z474" s="51"/>
      <c r="AA474" s="73">
        <v>474</v>
      </c>
      <c r="AB474" s="73"/>
      <c r="AC474" s="74"/>
      <c r="AD474" s="80" t="s">
        <v>1707</v>
      </c>
      <c r="AE474" s="80"/>
      <c r="AF474" s="80"/>
      <c r="AG474" s="80" t="s">
        <v>4192</v>
      </c>
      <c r="AH474" s="80" t="s">
        <v>5027</v>
      </c>
      <c r="AI474" s="80">
        <v>33041</v>
      </c>
      <c r="AJ474" s="80">
        <v>22</v>
      </c>
      <c r="AK474" s="80">
        <v>415</v>
      </c>
      <c r="AL474" s="80">
        <v>15</v>
      </c>
      <c r="AM474" s="80" t="s">
        <v>5614</v>
      </c>
      <c r="AN474" s="102" t="str">
        <f>HYPERLINK("https://www.youtube.com/watch?v=ZHbbPZ3bD5U")</f>
        <v>https://www.youtube.com/watch?v=ZHbbPZ3bD5U</v>
      </c>
      <c r="AO474" s="2"/>
      <c r="AP474" s="3"/>
      <c r="AQ474" s="3"/>
      <c r="AR474" s="3"/>
      <c r="AS474" s="3"/>
    </row>
    <row r="475" spans="1:45" ht="15">
      <c r="A475" s="66" t="s">
        <v>657</v>
      </c>
      <c r="B475" s="67"/>
      <c r="C475" s="67"/>
      <c r="D475" s="68"/>
      <c r="E475" s="70"/>
      <c r="F475" s="100" t="str">
        <f>HYPERLINK("https://i.ytimg.com/vi/oeUwAXzJQTI/default.jpg")</f>
        <v>https://i.ytimg.com/vi/oeUwAXzJQTI/default.jpg</v>
      </c>
      <c r="G475" s="67"/>
      <c r="H475" s="71"/>
      <c r="I475" s="72"/>
      <c r="J475" s="72"/>
      <c r="K475" s="71" t="s">
        <v>1708</v>
      </c>
      <c r="L475" s="75"/>
      <c r="M475" s="76">
        <v>3329.18017578125</v>
      </c>
      <c r="N475" s="76">
        <v>2239.862060546875</v>
      </c>
      <c r="O475" s="77"/>
      <c r="P475" s="78"/>
      <c r="Q475" s="78"/>
      <c r="R475" s="82"/>
      <c r="S475" s="82"/>
      <c r="T475" s="82"/>
      <c r="U475" s="82"/>
      <c r="V475" s="52"/>
      <c r="W475" s="52"/>
      <c r="X475" s="52"/>
      <c r="Y475" s="52"/>
      <c r="Z475" s="51"/>
      <c r="AA475" s="73">
        <v>475</v>
      </c>
      <c r="AB475" s="73"/>
      <c r="AC475" s="74"/>
      <c r="AD475" s="80" t="s">
        <v>1708</v>
      </c>
      <c r="AE475" s="80"/>
      <c r="AF475" s="80"/>
      <c r="AG475" s="80" t="s">
        <v>3987</v>
      </c>
      <c r="AH475" s="80" t="s">
        <v>5028</v>
      </c>
      <c r="AI475" s="80">
        <v>238</v>
      </c>
      <c r="AJ475" s="80">
        <v>0</v>
      </c>
      <c r="AK475" s="80">
        <v>0</v>
      </c>
      <c r="AL475" s="80">
        <v>0</v>
      </c>
      <c r="AM475" s="80" t="s">
        <v>5614</v>
      </c>
      <c r="AN475" s="102" t="str">
        <f>HYPERLINK("https://www.youtube.com/watch?v=oeUwAXzJQTI")</f>
        <v>https://www.youtube.com/watch?v=oeUwAXzJQTI</v>
      </c>
      <c r="AO475" s="2"/>
      <c r="AP475" s="3"/>
      <c r="AQ475" s="3"/>
      <c r="AR475" s="3"/>
      <c r="AS475" s="3"/>
    </row>
    <row r="476" spans="1:45" ht="15">
      <c r="A476" s="66" t="s">
        <v>658</v>
      </c>
      <c r="B476" s="67"/>
      <c r="C476" s="67"/>
      <c r="D476" s="68"/>
      <c r="E476" s="70"/>
      <c r="F476" s="100" t="str">
        <f>HYPERLINK("https://i.ytimg.com/vi/zEts1Y-JWG8/default.jpg")</f>
        <v>https://i.ytimg.com/vi/zEts1Y-JWG8/default.jpg</v>
      </c>
      <c r="G476" s="67"/>
      <c r="H476" s="71"/>
      <c r="I476" s="72"/>
      <c r="J476" s="72"/>
      <c r="K476" s="71" t="s">
        <v>1709</v>
      </c>
      <c r="L476" s="75"/>
      <c r="M476" s="76">
        <v>3485.731201171875</v>
      </c>
      <c r="N476" s="76">
        <v>1913.2371826171875</v>
      </c>
      <c r="O476" s="77"/>
      <c r="P476" s="78"/>
      <c r="Q476" s="78"/>
      <c r="R476" s="82"/>
      <c r="S476" s="82"/>
      <c r="T476" s="82"/>
      <c r="U476" s="82"/>
      <c r="V476" s="52"/>
      <c r="W476" s="52"/>
      <c r="X476" s="52"/>
      <c r="Y476" s="52"/>
      <c r="Z476" s="51"/>
      <c r="AA476" s="73">
        <v>476</v>
      </c>
      <c r="AB476" s="73"/>
      <c r="AC476" s="74"/>
      <c r="AD476" s="80" t="s">
        <v>1709</v>
      </c>
      <c r="AE476" s="80"/>
      <c r="AF476" s="80"/>
      <c r="AG476" s="80" t="s">
        <v>3987</v>
      </c>
      <c r="AH476" s="80" t="s">
        <v>5029</v>
      </c>
      <c r="AI476" s="80">
        <v>114</v>
      </c>
      <c r="AJ476" s="80">
        <v>0</v>
      </c>
      <c r="AK476" s="80">
        <v>0</v>
      </c>
      <c r="AL476" s="80">
        <v>0</v>
      </c>
      <c r="AM476" s="80" t="s">
        <v>5614</v>
      </c>
      <c r="AN476" s="102" t="str">
        <f>HYPERLINK("https://www.youtube.com/watch?v=zEts1Y-JWG8")</f>
        <v>https://www.youtube.com/watch?v=zEts1Y-JWG8</v>
      </c>
      <c r="AO476" s="2"/>
      <c r="AP476" s="3"/>
      <c r="AQ476" s="3"/>
      <c r="AR476" s="3"/>
      <c r="AS476" s="3"/>
    </row>
    <row r="477" spans="1:45" ht="15">
      <c r="A477" s="66" t="s">
        <v>659</v>
      </c>
      <c r="B477" s="67"/>
      <c r="C477" s="67"/>
      <c r="D477" s="68"/>
      <c r="E477" s="70"/>
      <c r="F477" s="100" t="str">
        <f>HYPERLINK("https://i.ytimg.com/vi/83LmnuwbB6s/default.jpg")</f>
        <v>https://i.ytimg.com/vi/83LmnuwbB6s/default.jpg</v>
      </c>
      <c r="G477" s="67"/>
      <c r="H477" s="71"/>
      <c r="I477" s="72"/>
      <c r="J477" s="72"/>
      <c r="K477" s="71" t="s">
        <v>1710</v>
      </c>
      <c r="L477" s="75"/>
      <c r="M477" s="76">
        <v>2109.71630859375</v>
      </c>
      <c r="N477" s="76">
        <v>3566.36328125</v>
      </c>
      <c r="O477" s="77"/>
      <c r="P477" s="78"/>
      <c r="Q477" s="78"/>
      <c r="R477" s="82"/>
      <c r="S477" s="82"/>
      <c r="T477" s="82"/>
      <c r="U477" s="82"/>
      <c r="V477" s="52"/>
      <c r="W477" s="52"/>
      <c r="X477" s="52"/>
      <c r="Y477" s="52"/>
      <c r="Z477" s="51"/>
      <c r="AA477" s="73">
        <v>477</v>
      </c>
      <c r="AB477" s="73"/>
      <c r="AC477" s="74"/>
      <c r="AD477" s="80" t="s">
        <v>1710</v>
      </c>
      <c r="AE477" s="80" t="s">
        <v>2694</v>
      </c>
      <c r="AF477" s="80"/>
      <c r="AG477" s="80" t="s">
        <v>4193</v>
      </c>
      <c r="AH477" s="80" t="s">
        <v>5030</v>
      </c>
      <c r="AI477" s="80">
        <v>20516</v>
      </c>
      <c r="AJ477" s="80">
        <v>3</v>
      </c>
      <c r="AK477" s="80">
        <v>162</v>
      </c>
      <c r="AL477" s="80">
        <v>7</v>
      </c>
      <c r="AM477" s="80" t="s">
        <v>5614</v>
      </c>
      <c r="AN477" s="102" t="str">
        <f>HYPERLINK("https://www.youtube.com/watch?v=83LmnuwbB6s")</f>
        <v>https://www.youtube.com/watch?v=83LmnuwbB6s</v>
      </c>
      <c r="AO477" s="2"/>
      <c r="AP477" s="3"/>
      <c r="AQ477" s="3"/>
      <c r="AR477" s="3"/>
      <c r="AS477" s="3"/>
    </row>
    <row r="478" spans="1:45" ht="15">
      <c r="A478" s="66" t="s">
        <v>660</v>
      </c>
      <c r="B478" s="67"/>
      <c r="C478" s="67"/>
      <c r="D478" s="68"/>
      <c r="E478" s="70"/>
      <c r="F478" s="100" t="str">
        <f>HYPERLINK("https://i.ytimg.com/vi/QnLQxF_Y2uY/default.jpg")</f>
        <v>https://i.ytimg.com/vi/QnLQxF_Y2uY/default.jpg</v>
      </c>
      <c r="G478" s="67"/>
      <c r="H478" s="71"/>
      <c r="I478" s="72"/>
      <c r="J478" s="72"/>
      <c r="K478" s="71" t="s">
        <v>1711</v>
      </c>
      <c r="L478" s="75"/>
      <c r="M478" s="76">
        <v>3563.5048828125</v>
      </c>
      <c r="N478" s="76">
        <v>1847.9267578125</v>
      </c>
      <c r="O478" s="77"/>
      <c r="P478" s="78"/>
      <c r="Q478" s="78"/>
      <c r="R478" s="82"/>
      <c r="S478" s="82"/>
      <c r="T478" s="82"/>
      <c r="U478" s="82"/>
      <c r="V478" s="52"/>
      <c r="W478" s="52"/>
      <c r="X478" s="52"/>
      <c r="Y478" s="52"/>
      <c r="Z478" s="51"/>
      <c r="AA478" s="73">
        <v>478</v>
      </c>
      <c r="AB478" s="73"/>
      <c r="AC478" s="74"/>
      <c r="AD478" s="80" t="s">
        <v>1711</v>
      </c>
      <c r="AE478" s="80"/>
      <c r="AF478" s="80"/>
      <c r="AG478" s="80" t="s">
        <v>3987</v>
      </c>
      <c r="AH478" s="80" t="s">
        <v>5031</v>
      </c>
      <c r="AI478" s="80">
        <v>264</v>
      </c>
      <c r="AJ478" s="80">
        <v>0</v>
      </c>
      <c r="AK478" s="80">
        <v>0</v>
      </c>
      <c r="AL478" s="80">
        <v>0</v>
      </c>
      <c r="AM478" s="80" t="s">
        <v>5614</v>
      </c>
      <c r="AN478" s="102" t="str">
        <f>HYPERLINK("https://www.youtube.com/watch?v=QnLQxF_Y2uY")</f>
        <v>https://www.youtube.com/watch?v=QnLQxF_Y2uY</v>
      </c>
      <c r="AO478" s="2"/>
      <c r="AP478" s="3"/>
      <c r="AQ478" s="3"/>
      <c r="AR478" s="3"/>
      <c r="AS478" s="3"/>
    </row>
    <row r="479" spans="1:45" ht="15">
      <c r="A479" s="66" t="s">
        <v>661</v>
      </c>
      <c r="B479" s="67"/>
      <c r="C479" s="67"/>
      <c r="D479" s="68"/>
      <c r="E479" s="70"/>
      <c r="F479" s="100" t="str">
        <f>HYPERLINK("https://i.ytimg.com/vi/EiFcRzpLcJg/default.jpg")</f>
        <v>https://i.ytimg.com/vi/EiFcRzpLcJg/default.jpg</v>
      </c>
      <c r="G479" s="67"/>
      <c r="H479" s="71"/>
      <c r="I479" s="72"/>
      <c r="J479" s="72"/>
      <c r="K479" s="71" t="s">
        <v>1712</v>
      </c>
      <c r="L479" s="75"/>
      <c r="M479" s="76">
        <v>3499.524658203125</v>
      </c>
      <c r="N479" s="76">
        <v>1993.69873046875</v>
      </c>
      <c r="O479" s="77"/>
      <c r="P479" s="78"/>
      <c r="Q479" s="78"/>
      <c r="R479" s="82"/>
      <c r="S479" s="82"/>
      <c r="T479" s="82"/>
      <c r="U479" s="82"/>
      <c r="V479" s="52"/>
      <c r="W479" s="52"/>
      <c r="X479" s="52"/>
      <c r="Y479" s="52"/>
      <c r="Z479" s="51"/>
      <c r="AA479" s="73">
        <v>479</v>
      </c>
      <c r="AB479" s="73"/>
      <c r="AC479" s="74"/>
      <c r="AD479" s="80" t="s">
        <v>1712</v>
      </c>
      <c r="AE479" s="80" t="s">
        <v>2695</v>
      </c>
      <c r="AF479" s="80" t="s">
        <v>3481</v>
      </c>
      <c r="AG479" s="80" t="s">
        <v>3987</v>
      </c>
      <c r="AH479" s="80" t="s">
        <v>5032</v>
      </c>
      <c r="AI479" s="80">
        <v>63225</v>
      </c>
      <c r="AJ479" s="80">
        <v>0</v>
      </c>
      <c r="AK479" s="80">
        <v>0</v>
      </c>
      <c r="AL479" s="80">
        <v>0</v>
      </c>
      <c r="AM479" s="80" t="s">
        <v>5614</v>
      </c>
      <c r="AN479" s="102" t="str">
        <f>HYPERLINK("https://www.youtube.com/watch?v=EiFcRzpLcJg")</f>
        <v>https://www.youtube.com/watch?v=EiFcRzpLcJg</v>
      </c>
      <c r="AO479" s="2"/>
      <c r="AP479" s="3"/>
      <c r="AQ479" s="3"/>
      <c r="AR479" s="3"/>
      <c r="AS479" s="3"/>
    </row>
    <row r="480" spans="1:45" ht="15">
      <c r="A480" s="66" t="s">
        <v>662</v>
      </c>
      <c r="B480" s="67"/>
      <c r="C480" s="67"/>
      <c r="D480" s="68"/>
      <c r="E480" s="70"/>
      <c r="F480" s="100" t="str">
        <f>HYPERLINK("https://i.ytimg.com/vi/kVzUk8dYTQE/default.jpg")</f>
        <v>https://i.ytimg.com/vi/kVzUk8dYTQE/default.jpg</v>
      </c>
      <c r="G480" s="67"/>
      <c r="H480" s="71"/>
      <c r="I480" s="72"/>
      <c r="J480" s="72"/>
      <c r="K480" s="71" t="s">
        <v>1713</v>
      </c>
      <c r="L480" s="75"/>
      <c r="M480" s="76">
        <v>2259.51416015625</v>
      </c>
      <c r="N480" s="76">
        <v>3104.030517578125</v>
      </c>
      <c r="O480" s="77"/>
      <c r="P480" s="78"/>
      <c r="Q480" s="78"/>
      <c r="R480" s="82"/>
      <c r="S480" s="82"/>
      <c r="T480" s="82"/>
      <c r="U480" s="82"/>
      <c r="V480" s="52"/>
      <c r="W480" s="52"/>
      <c r="X480" s="52"/>
      <c r="Y480" s="52"/>
      <c r="Z480" s="51"/>
      <c r="AA480" s="73">
        <v>480</v>
      </c>
      <c r="AB480" s="73"/>
      <c r="AC480" s="74"/>
      <c r="AD480" s="80" t="s">
        <v>1713</v>
      </c>
      <c r="AE480" s="80"/>
      <c r="AF480" s="80"/>
      <c r="AG480" s="80" t="s">
        <v>4194</v>
      </c>
      <c r="AH480" s="80" t="s">
        <v>5033</v>
      </c>
      <c r="AI480" s="80">
        <v>91215</v>
      </c>
      <c r="AJ480" s="80">
        <v>54</v>
      </c>
      <c r="AK480" s="80">
        <v>1430</v>
      </c>
      <c r="AL480" s="80">
        <v>32</v>
      </c>
      <c r="AM480" s="80" t="s">
        <v>5614</v>
      </c>
      <c r="AN480" s="102" t="str">
        <f>HYPERLINK("https://www.youtube.com/watch?v=kVzUk8dYTQE")</f>
        <v>https://www.youtube.com/watch?v=kVzUk8dYTQE</v>
      </c>
      <c r="AO480" s="2"/>
      <c r="AP480" s="3"/>
      <c r="AQ480" s="3"/>
      <c r="AR480" s="3"/>
      <c r="AS480" s="3"/>
    </row>
    <row r="481" spans="1:45" ht="15">
      <c r="A481" s="66" t="s">
        <v>663</v>
      </c>
      <c r="B481" s="67"/>
      <c r="C481" s="67"/>
      <c r="D481" s="68"/>
      <c r="E481" s="70"/>
      <c r="F481" s="100" t="str">
        <f>HYPERLINK("https://i.ytimg.com/vi/K215MdQuXkk/default.jpg")</f>
        <v>https://i.ytimg.com/vi/K215MdQuXkk/default.jpg</v>
      </c>
      <c r="G481" s="67"/>
      <c r="H481" s="71"/>
      <c r="I481" s="72"/>
      <c r="J481" s="72"/>
      <c r="K481" s="71" t="s">
        <v>1714</v>
      </c>
      <c r="L481" s="75"/>
      <c r="M481" s="76">
        <v>2326.85693359375</v>
      </c>
      <c r="N481" s="76">
        <v>2968.5537109375</v>
      </c>
      <c r="O481" s="77"/>
      <c r="P481" s="78"/>
      <c r="Q481" s="78"/>
      <c r="R481" s="82"/>
      <c r="S481" s="82"/>
      <c r="T481" s="82"/>
      <c r="U481" s="82"/>
      <c r="V481" s="52"/>
      <c r="W481" s="52"/>
      <c r="X481" s="52"/>
      <c r="Y481" s="52"/>
      <c r="Z481" s="51"/>
      <c r="AA481" s="73">
        <v>481</v>
      </c>
      <c r="AB481" s="73"/>
      <c r="AC481" s="74"/>
      <c r="AD481" s="80" t="s">
        <v>1714</v>
      </c>
      <c r="AE481" s="80" t="s">
        <v>2696</v>
      </c>
      <c r="AF481" s="80" t="s">
        <v>3482</v>
      </c>
      <c r="AG481" s="80" t="s">
        <v>4195</v>
      </c>
      <c r="AH481" s="80" t="s">
        <v>5034</v>
      </c>
      <c r="AI481" s="80">
        <v>275455</v>
      </c>
      <c r="AJ481" s="80">
        <v>27</v>
      </c>
      <c r="AK481" s="80">
        <v>1726</v>
      </c>
      <c r="AL481" s="80">
        <v>89</v>
      </c>
      <c r="AM481" s="80" t="s">
        <v>5614</v>
      </c>
      <c r="AN481" s="102" t="str">
        <f>HYPERLINK("https://www.youtube.com/watch?v=K215MdQuXkk")</f>
        <v>https://www.youtube.com/watch?v=K215MdQuXkk</v>
      </c>
      <c r="AO481" s="2"/>
      <c r="AP481" s="3"/>
      <c r="AQ481" s="3"/>
      <c r="AR481" s="3"/>
      <c r="AS481" s="3"/>
    </row>
    <row r="482" spans="1:45" ht="15">
      <c r="A482" s="66" t="s">
        <v>664</v>
      </c>
      <c r="B482" s="67"/>
      <c r="C482" s="67"/>
      <c r="D482" s="68"/>
      <c r="E482" s="70"/>
      <c r="F482" s="100" t="str">
        <f>HYPERLINK("https://i.ytimg.com/vi/uek66Zol5Cw/default.jpg")</f>
        <v>https://i.ytimg.com/vi/uek66Zol5Cw/default.jpg</v>
      </c>
      <c r="G482" s="67"/>
      <c r="H482" s="71"/>
      <c r="I482" s="72"/>
      <c r="J482" s="72"/>
      <c r="K482" s="71" t="s">
        <v>1715</v>
      </c>
      <c r="L482" s="75"/>
      <c r="M482" s="76">
        <v>3516.624755859375</v>
      </c>
      <c r="N482" s="76">
        <v>1961.318603515625</v>
      </c>
      <c r="O482" s="77"/>
      <c r="P482" s="78"/>
      <c r="Q482" s="78"/>
      <c r="R482" s="82"/>
      <c r="S482" s="82"/>
      <c r="T482" s="82"/>
      <c r="U482" s="82"/>
      <c r="V482" s="52"/>
      <c r="W482" s="52"/>
      <c r="X482" s="52"/>
      <c r="Y482" s="52"/>
      <c r="Z482" s="51"/>
      <c r="AA482" s="73">
        <v>482</v>
      </c>
      <c r="AB482" s="73"/>
      <c r="AC482" s="74"/>
      <c r="AD482" s="80" t="s">
        <v>1715</v>
      </c>
      <c r="AE482" s="80"/>
      <c r="AF482" s="80"/>
      <c r="AG482" s="80" t="s">
        <v>3987</v>
      </c>
      <c r="AH482" s="80" t="s">
        <v>5035</v>
      </c>
      <c r="AI482" s="80">
        <v>210</v>
      </c>
      <c r="AJ482" s="80">
        <v>0</v>
      </c>
      <c r="AK482" s="80">
        <v>0</v>
      </c>
      <c r="AL482" s="80">
        <v>0</v>
      </c>
      <c r="AM482" s="80" t="s">
        <v>5614</v>
      </c>
      <c r="AN482" s="102" t="str">
        <f>HYPERLINK("https://www.youtube.com/watch?v=uek66Zol5Cw")</f>
        <v>https://www.youtube.com/watch?v=uek66Zol5Cw</v>
      </c>
      <c r="AO482" s="2"/>
      <c r="AP482" s="3"/>
      <c r="AQ482" s="3"/>
      <c r="AR482" s="3"/>
      <c r="AS482" s="3"/>
    </row>
    <row r="483" spans="1:45" ht="15">
      <c r="A483" s="66" t="s">
        <v>665</v>
      </c>
      <c r="B483" s="67"/>
      <c r="C483" s="67"/>
      <c r="D483" s="68"/>
      <c r="E483" s="70"/>
      <c r="F483" s="100" t="str">
        <f>HYPERLINK("https://i.ytimg.com/vi/u1uun-nOjtg/default.jpg")</f>
        <v>https://i.ytimg.com/vi/u1uun-nOjtg/default.jpg</v>
      </c>
      <c r="G483" s="67"/>
      <c r="H483" s="71"/>
      <c r="I483" s="72"/>
      <c r="J483" s="72"/>
      <c r="K483" s="71" t="s">
        <v>1716</v>
      </c>
      <c r="L483" s="75"/>
      <c r="M483" s="76">
        <v>2178.64404296875</v>
      </c>
      <c r="N483" s="76">
        <v>3225.27978515625</v>
      </c>
      <c r="O483" s="77"/>
      <c r="P483" s="78"/>
      <c r="Q483" s="78"/>
      <c r="R483" s="82"/>
      <c r="S483" s="82"/>
      <c r="T483" s="82"/>
      <c r="U483" s="82"/>
      <c r="V483" s="52"/>
      <c r="W483" s="52"/>
      <c r="X483" s="52"/>
      <c r="Y483" s="52"/>
      <c r="Z483" s="51"/>
      <c r="AA483" s="73">
        <v>483</v>
      </c>
      <c r="AB483" s="73"/>
      <c r="AC483" s="74"/>
      <c r="AD483" s="80" t="s">
        <v>1716</v>
      </c>
      <c r="AE483" s="80" t="s">
        <v>2697</v>
      </c>
      <c r="AF483" s="80" t="s">
        <v>3483</v>
      </c>
      <c r="AG483" s="80" t="s">
        <v>3913</v>
      </c>
      <c r="AH483" s="80" t="s">
        <v>5036</v>
      </c>
      <c r="AI483" s="80">
        <v>2344</v>
      </c>
      <c r="AJ483" s="80">
        <v>2</v>
      </c>
      <c r="AK483" s="80">
        <v>12</v>
      </c>
      <c r="AL483" s="80">
        <v>0</v>
      </c>
      <c r="AM483" s="80" t="s">
        <v>5614</v>
      </c>
      <c r="AN483" s="102" t="str">
        <f>HYPERLINK("https://www.youtube.com/watch?v=u1uun-nOjtg")</f>
        <v>https://www.youtube.com/watch?v=u1uun-nOjtg</v>
      </c>
      <c r="AO483" s="2"/>
      <c r="AP483" s="3"/>
      <c r="AQ483" s="3"/>
      <c r="AR483" s="3"/>
      <c r="AS483" s="3"/>
    </row>
    <row r="484" spans="1:45" ht="15">
      <c r="A484" s="66" t="s">
        <v>666</v>
      </c>
      <c r="B484" s="67"/>
      <c r="C484" s="67"/>
      <c r="D484" s="68"/>
      <c r="E484" s="70"/>
      <c r="F484" s="100" t="str">
        <f>HYPERLINK("https://i.ytimg.com/vi/nCPLkeprI8s/default.jpg")</f>
        <v>https://i.ytimg.com/vi/nCPLkeprI8s/default.jpg</v>
      </c>
      <c r="G484" s="67"/>
      <c r="H484" s="71"/>
      <c r="I484" s="72"/>
      <c r="J484" s="72"/>
      <c r="K484" s="71" t="s">
        <v>1717</v>
      </c>
      <c r="L484" s="75"/>
      <c r="M484" s="76">
        <v>3424.207275390625</v>
      </c>
      <c r="N484" s="76">
        <v>2102.9755859375</v>
      </c>
      <c r="O484" s="77"/>
      <c r="P484" s="78"/>
      <c r="Q484" s="78"/>
      <c r="R484" s="82"/>
      <c r="S484" s="82"/>
      <c r="T484" s="82"/>
      <c r="U484" s="82"/>
      <c r="V484" s="52"/>
      <c r="W484" s="52"/>
      <c r="X484" s="52"/>
      <c r="Y484" s="52"/>
      <c r="Z484" s="51"/>
      <c r="AA484" s="73">
        <v>484</v>
      </c>
      <c r="AB484" s="73"/>
      <c r="AC484" s="74"/>
      <c r="AD484" s="80" t="s">
        <v>1717</v>
      </c>
      <c r="AE484" s="80"/>
      <c r="AF484" s="80"/>
      <c r="AG484" s="80" t="s">
        <v>3987</v>
      </c>
      <c r="AH484" s="80" t="s">
        <v>5037</v>
      </c>
      <c r="AI484" s="80">
        <v>334</v>
      </c>
      <c r="AJ484" s="80">
        <v>0</v>
      </c>
      <c r="AK484" s="80">
        <v>0</v>
      </c>
      <c r="AL484" s="80">
        <v>0</v>
      </c>
      <c r="AM484" s="80" t="s">
        <v>5614</v>
      </c>
      <c r="AN484" s="102" t="str">
        <f>HYPERLINK("https://www.youtube.com/watch?v=nCPLkeprI8s")</f>
        <v>https://www.youtube.com/watch?v=nCPLkeprI8s</v>
      </c>
      <c r="AO484" s="2"/>
      <c r="AP484" s="3"/>
      <c r="AQ484" s="3"/>
      <c r="AR484" s="3"/>
      <c r="AS484" s="3"/>
    </row>
    <row r="485" spans="1:45" ht="15">
      <c r="A485" s="66" t="s">
        <v>667</v>
      </c>
      <c r="B485" s="67"/>
      <c r="C485" s="67"/>
      <c r="D485" s="68"/>
      <c r="E485" s="70"/>
      <c r="F485" s="100" t="str">
        <f>HYPERLINK("https://i.ytimg.com/vi/eKJoG7X30kY/default.jpg")</f>
        <v>https://i.ytimg.com/vi/eKJoG7X30kY/default.jpg</v>
      </c>
      <c r="G485" s="67"/>
      <c r="H485" s="71"/>
      <c r="I485" s="72"/>
      <c r="J485" s="72"/>
      <c r="K485" s="71" t="s">
        <v>1718</v>
      </c>
      <c r="L485" s="75"/>
      <c r="M485" s="76">
        <v>2132.26318359375</v>
      </c>
      <c r="N485" s="76">
        <v>3445.626708984375</v>
      </c>
      <c r="O485" s="77"/>
      <c r="P485" s="78"/>
      <c r="Q485" s="78"/>
      <c r="R485" s="82"/>
      <c r="S485" s="82"/>
      <c r="T485" s="82"/>
      <c r="U485" s="82"/>
      <c r="V485" s="52"/>
      <c r="W485" s="52"/>
      <c r="X485" s="52"/>
      <c r="Y485" s="52"/>
      <c r="Z485" s="51"/>
      <c r="AA485" s="73">
        <v>485</v>
      </c>
      <c r="AB485" s="73"/>
      <c r="AC485" s="74"/>
      <c r="AD485" s="80" t="s">
        <v>1718</v>
      </c>
      <c r="AE485" s="80" t="s">
        <v>2698</v>
      </c>
      <c r="AF485" s="80"/>
      <c r="AG485" s="80" t="s">
        <v>4196</v>
      </c>
      <c r="AH485" s="80" t="s">
        <v>5038</v>
      </c>
      <c r="AI485" s="80">
        <v>196866</v>
      </c>
      <c r="AJ485" s="80">
        <v>48</v>
      </c>
      <c r="AK485" s="80">
        <v>2424</v>
      </c>
      <c r="AL485" s="80">
        <v>58</v>
      </c>
      <c r="AM485" s="80" t="s">
        <v>5614</v>
      </c>
      <c r="AN485" s="102" t="str">
        <f>HYPERLINK("https://www.youtube.com/watch?v=eKJoG7X30kY")</f>
        <v>https://www.youtube.com/watch?v=eKJoG7X30kY</v>
      </c>
      <c r="AO485" s="2"/>
      <c r="AP485" s="3"/>
      <c r="AQ485" s="3"/>
      <c r="AR485" s="3"/>
      <c r="AS485" s="3"/>
    </row>
    <row r="486" spans="1:45" ht="15">
      <c r="A486" s="66" t="s">
        <v>668</v>
      </c>
      <c r="B486" s="67"/>
      <c r="C486" s="67"/>
      <c r="D486" s="68"/>
      <c r="E486" s="70"/>
      <c r="F486" s="100" t="str">
        <f>HYPERLINK("https://i.ytimg.com/vi/V_HOIsP-Ix8/default.jpg")</f>
        <v>https://i.ytimg.com/vi/V_HOIsP-Ix8/default.jpg</v>
      </c>
      <c r="G486" s="67"/>
      <c r="H486" s="71"/>
      <c r="I486" s="72"/>
      <c r="J486" s="72"/>
      <c r="K486" s="71" t="s">
        <v>1719</v>
      </c>
      <c r="L486" s="75"/>
      <c r="M486" s="76">
        <v>2131.646240234375</v>
      </c>
      <c r="N486" s="76">
        <v>3611.27978515625</v>
      </c>
      <c r="O486" s="77"/>
      <c r="P486" s="78"/>
      <c r="Q486" s="78"/>
      <c r="R486" s="82"/>
      <c r="S486" s="82"/>
      <c r="T486" s="82"/>
      <c r="U486" s="82"/>
      <c r="V486" s="52"/>
      <c r="W486" s="52"/>
      <c r="X486" s="52"/>
      <c r="Y486" s="52"/>
      <c r="Z486" s="51"/>
      <c r="AA486" s="73">
        <v>486</v>
      </c>
      <c r="AB486" s="73"/>
      <c r="AC486" s="74"/>
      <c r="AD486" s="80" t="s">
        <v>1719</v>
      </c>
      <c r="AE486" s="80" t="s">
        <v>2699</v>
      </c>
      <c r="AF486" s="80"/>
      <c r="AG486" s="80" t="s">
        <v>4197</v>
      </c>
      <c r="AH486" s="80" t="s">
        <v>5039</v>
      </c>
      <c r="AI486" s="80">
        <v>51016</v>
      </c>
      <c r="AJ486" s="80">
        <v>17</v>
      </c>
      <c r="AK486" s="80">
        <v>256</v>
      </c>
      <c r="AL486" s="80">
        <v>12</v>
      </c>
      <c r="AM486" s="80" t="s">
        <v>5614</v>
      </c>
      <c r="AN486" s="102" t="str">
        <f>HYPERLINK("https://www.youtube.com/watch?v=V_HOIsP-Ix8")</f>
        <v>https://www.youtube.com/watch?v=V_HOIsP-Ix8</v>
      </c>
      <c r="AO486" s="2"/>
      <c r="AP486" s="3"/>
      <c r="AQ486" s="3"/>
      <c r="AR486" s="3"/>
      <c r="AS486" s="3"/>
    </row>
    <row r="487" spans="1:45" ht="15">
      <c r="A487" s="66" t="s">
        <v>669</v>
      </c>
      <c r="B487" s="67"/>
      <c r="C487" s="67"/>
      <c r="D487" s="68"/>
      <c r="E487" s="70"/>
      <c r="F487" s="100" t="str">
        <f>HYPERLINK("https://i.ytimg.com/vi/0_7E10oDj9M/default.jpg")</f>
        <v>https://i.ytimg.com/vi/0_7E10oDj9M/default.jpg</v>
      </c>
      <c r="G487" s="67"/>
      <c r="H487" s="71"/>
      <c r="I487" s="72"/>
      <c r="J487" s="72"/>
      <c r="K487" s="71" t="s">
        <v>1720</v>
      </c>
      <c r="L487" s="75"/>
      <c r="M487" s="76">
        <v>2195.506103515625</v>
      </c>
      <c r="N487" s="76">
        <v>3348.3193359375</v>
      </c>
      <c r="O487" s="77"/>
      <c r="P487" s="78"/>
      <c r="Q487" s="78"/>
      <c r="R487" s="82"/>
      <c r="S487" s="82"/>
      <c r="T487" s="82"/>
      <c r="U487" s="82"/>
      <c r="V487" s="52"/>
      <c r="W487" s="52"/>
      <c r="X487" s="52"/>
      <c r="Y487" s="52"/>
      <c r="Z487" s="51"/>
      <c r="AA487" s="73">
        <v>487</v>
      </c>
      <c r="AB487" s="73"/>
      <c r="AC487" s="74"/>
      <c r="AD487" s="80" t="s">
        <v>1720</v>
      </c>
      <c r="AE487" s="80" t="s">
        <v>2700</v>
      </c>
      <c r="AF487" s="80" t="s">
        <v>3484</v>
      </c>
      <c r="AG487" s="80" t="s">
        <v>4198</v>
      </c>
      <c r="AH487" s="80" t="s">
        <v>5040</v>
      </c>
      <c r="AI487" s="80">
        <v>24600</v>
      </c>
      <c r="AJ487" s="80">
        <v>14</v>
      </c>
      <c r="AK487" s="80">
        <v>72</v>
      </c>
      <c r="AL487" s="80">
        <v>1</v>
      </c>
      <c r="AM487" s="80" t="s">
        <v>5614</v>
      </c>
      <c r="AN487" s="102" t="str">
        <f>HYPERLINK("https://www.youtube.com/watch?v=0_7E10oDj9M")</f>
        <v>https://www.youtube.com/watch?v=0_7E10oDj9M</v>
      </c>
      <c r="AO487" s="2"/>
      <c r="AP487" s="3"/>
      <c r="AQ487" s="3"/>
      <c r="AR487" s="3"/>
      <c r="AS487" s="3"/>
    </row>
    <row r="488" spans="1:45" ht="15">
      <c r="A488" s="66" t="s">
        <v>670</v>
      </c>
      <c r="B488" s="67"/>
      <c r="C488" s="67"/>
      <c r="D488" s="68"/>
      <c r="E488" s="70"/>
      <c r="F488" s="100" t="str">
        <f>HYPERLINK("https://i.ytimg.com/vi/Igi0ijkeig4/default.jpg")</f>
        <v>https://i.ytimg.com/vi/Igi0ijkeig4/default.jpg</v>
      </c>
      <c r="G488" s="67"/>
      <c r="H488" s="71"/>
      <c r="I488" s="72"/>
      <c r="J488" s="72"/>
      <c r="K488" s="71" t="s">
        <v>1721</v>
      </c>
      <c r="L488" s="75"/>
      <c r="M488" s="76">
        <v>2317.499267578125</v>
      </c>
      <c r="N488" s="76">
        <v>3046.64404296875</v>
      </c>
      <c r="O488" s="77"/>
      <c r="P488" s="78"/>
      <c r="Q488" s="78"/>
      <c r="R488" s="82"/>
      <c r="S488" s="82"/>
      <c r="T488" s="82"/>
      <c r="U488" s="82"/>
      <c r="V488" s="52"/>
      <c r="W488" s="52"/>
      <c r="X488" s="52"/>
      <c r="Y488" s="52"/>
      <c r="Z488" s="51"/>
      <c r="AA488" s="73">
        <v>488</v>
      </c>
      <c r="AB488" s="73"/>
      <c r="AC488" s="74"/>
      <c r="AD488" s="80" t="s">
        <v>1721</v>
      </c>
      <c r="AE488" s="80" t="s">
        <v>2701</v>
      </c>
      <c r="AF488" s="80" t="s">
        <v>3485</v>
      </c>
      <c r="AG488" s="80" t="s">
        <v>4199</v>
      </c>
      <c r="AH488" s="80" t="s">
        <v>5041</v>
      </c>
      <c r="AI488" s="80">
        <v>1049524</v>
      </c>
      <c r="AJ488" s="80">
        <v>2334</v>
      </c>
      <c r="AK488" s="80">
        <v>32820</v>
      </c>
      <c r="AL488" s="80">
        <v>848</v>
      </c>
      <c r="AM488" s="80" t="s">
        <v>5614</v>
      </c>
      <c r="AN488" s="102" t="str">
        <f>HYPERLINK("https://www.youtube.com/watch?v=Igi0ijkeig4")</f>
        <v>https://www.youtube.com/watch?v=Igi0ijkeig4</v>
      </c>
      <c r="AO488" s="2"/>
      <c r="AP488" s="3"/>
      <c r="AQ488" s="3"/>
      <c r="AR488" s="3"/>
      <c r="AS488" s="3"/>
    </row>
    <row r="489" spans="1:45" ht="15">
      <c r="A489" s="66" t="s">
        <v>671</v>
      </c>
      <c r="B489" s="67"/>
      <c r="C489" s="67"/>
      <c r="D489" s="68"/>
      <c r="E489" s="70"/>
      <c r="F489" s="100" t="str">
        <f>HYPERLINK("https://i.ytimg.com/vi/tYiHMYfmMgM/default.jpg")</f>
        <v>https://i.ytimg.com/vi/tYiHMYfmMgM/default.jpg</v>
      </c>
      <c r="G489" s="67"/>
      <c r="H489" s="71"/>
      <c r="I489" s="72"/>
      <c r="J489" s="72"/>
      <c r="K489" s="71" t="s">
        <v>1722</v>
      </c>
      <c r="L489" s="75"/>
      <c r="M489" s="76">
        <v>2136.9921875</v>
      </c>
      <c r="N489" s="76">
        <v>3427.453857421875</v>
      </c>
      <c r="O489" s="77"/>
      <c r="P489" s="78"/>
      <c r="Q489" s="78"/>
      <c r="R489" s="82"/>
      <c r="S489" s="82"/>
      <c r="T489" s="82"/>
      <c r="U489" s="82"/>
      <c r="V489" s="52"/>
      <c r="W489" s="52"/>
      <c r="X489" s="52"/>
      <c r="Y489" s="52"/>
      <c r="Z489" s="51"/>
      <c r="AA489" s="73">
        <v>489</v>
      </c>
      <c r="AB489" s="73"/>
      <c r="AC489" s="74"/>
      <c r="AD489" s="80" t="s">
        <v>1722</v>
      </c>
      <c r="AE489" s="80" t="s">
        <v>2702</v>
      </c>
      <c r="AF489" s="80" t="s">
        <v>3486</v>
      </c>
      <c r="AG489" s="80" t="s">
        <v>3987</v>
      </c>
      <c r="AH489" s="80" t="s">
        <v>5042</v>
      </c>
      <c r="AI489" s="80">
        <v>58673</v>
      </c>
      <c r="AJ489" s="80">
        <v>0</v>
      </c>
      <c r="AK489" s="80">
        <v>0</v>
      </c>
      <c r="AL489" s="80">
        <v>0</v>
      </c>
      <c r="AM489" s="80" t="s">
        <v>5614</v>
      </c>
      <c r="AN489" s="102" t="str">
        <f>HYPERLINK("https://www.youtube.com/watch?v=tYiHMYfmMgM")</f>
        <v>https://www.youtube.com/watch?v=tYiHMYfmMgM</v>
      </c>
      <c r="AO489" s="2"/>
      <c r="AP489" s="3"/>
      <c r="AQ489" s="3"/>
      <c r="AR489" s="3"/>
      <c r="AS489" s="3"/>
    </row>
    <row r="490" spans="1:45" ht="15">
      <c r="A490" s="66" t="s">
        <v>672</v>
      </c>
      <c r="B490" s="67"/>
      <c r="C490" s="67"/>
      <c r="D490" s="68"/>
      <c r="E490" s="70"/>
      <c r="F490" s="100" t="str">
        <f>HYPERLINK("https://i.ytimg.com/vi/O5CAprNl4G0/default.jpg")</f>
        <v>https://i.ytimg.com/vi/O5CAprNl4G0/default.jpg</v>
      </c>
      <c r="G490" s="67"/>
      <c r="H490" s="71"/>
      <c r="I490" s="72"/>
      <c r="J490" s="72"/>
      <c r="K490" s="71" t="s">
        <v>1723</v>
      </c>
      <c r="L490" s="75"/>
      <c r="M490" s="76">
        <v>3098.185546875</v>
      </c>
      <c r="N490" s="76">
        <v>4537.18359375</v>
      </c>
      <c r="O490" s="77"/>
      <c r="P490" s="78"/>
      <c r="Q490" s="78"/>
      <c r="R490" s="82"/>
      <c r="S490" s="82"/>
      <c r="T490" s="82"/>
      <c r="U490" s="82"/>
      <c r="V490" s="52"/>
      <c r="W490" s="52"/>
      <c r="X490" s="52"/>
      <c r="Y490" s="52"/>
      <c r="Z490" s="51"/>
      <c r="AA490" s="73">
        <v>490</v>
      </c>
      <c r="AB490" s="73"/>
      <c r="AC490" s="74"/>
      <c r="AD490" s="80" t="s">
        <v>1723</v>
      </c>
      <c r="AE490" s="80" t="s">
        <v>2703</v>
      </c>
      <c r="AF490" s="80"/>
      <c r="AG490" s="80" t="s">
        <v>3877</v>
      </c>
      <c r="AH490" s="80" t="s">
        <v>5043</v>
      </c>
      <c r="AI490" s="80">
        <v>505</v>
      </c>
      <c r="AJ490" s="80">
        <v>0</v>
      </c>
      <c r="AK490" s="80">
        <v>1</v>
      </c>
      <c r="AL490" s="80">
        <v>1</v>
      </c>
      <c r="AM490" s="80" t="s">
        <v>5614</v>
      </c>
      <c r="AN490" s="102" t="str">
        <f>HYPERLINK("https://www.youtube.com/watch?v=O5CAprNl4G0")</f>
        <v>https://www.youtube.com/watch?v=O5CAprNl4G0</v>
      </c>
      <c r="AO490" s="2"/>
      <c r="AP490" s="3"/>
      <c r="AQ490" s="3"/>
      <c r="AR490" s="3"/>
      <c r="AS490" s="3"/>
    </row>
    <row r="491" spans="1:45" ht="15">
      <c r="A491" s="66" t="s">
        <v>673</v>
      </c>
      <c r="B491" s="67"/>
      <c r="C491" s="67"/>
      <c r="D491" s="68"/>
      <c r="E491" s="70"/>
      <c r="F491" s="100" t="str">
        <f>HYPERLINK("https://i.ytimg.com/vi/8ZBc2McCjGo/default.jpg")</f>
        <v>https://i.ytimg.com/vi/8ZBc2McCjGo/default.jpg</v>
      </c>
      <c r="G491" s="67"/>
      <c r="H491" s="71"/>
      <c r="I491" s="72"/>
      <c r="J491" s="72"/>
      <c r="K491" s="71" t="s">
        <v>1724</v>
      </c>
      <c r="L491" s="75"/>
      <c r="M491" s="76">
        <v>3269.31396484375</v>
      </c>
      <c r="N491" s="76">
        <v>4036.70166015625</v>
      </c>
      <c r="O491" s="77"/>
      <c r="P491" s="78"/>
      <c r="Q491" s="78"/>
      <c r="R491" s="82"/>
      <c r="S491" s="82"/>
      <c r="T491" s="82"/>
      <c r="U491" s="82"/>
      <c r="V491" s="52"/>
      <c r="W491" s="52"/>
      <c r="X491" s="52"/>
      <c r="Y491" s="52"/>
      <c r="Z491" s="51"/>
      <c r="AA491" s="73">
        <v>491</v>
      </c>
      <c r="AB491" s="73"/>
      <c r="AC491" s="74"/>
      <c r="AD491" s="80" t="s">
        <v>1724</v>
      </c>
      <c r="AE491" s="80" t="s">
        <v>2704</v>
      </c>
      <c r="AF491" s="80" t="s">
        <v>3487</v>
      </c>
      <c r="AG491" s="80" t="s">
        <v>3877</v>
      </c>
      <c r="AH491" s="80" t="s">
        <v>5044</v>
      </c>
      <c r="AI491" s="80">
        <v>1610</v>
      </c>
      <c r="AJ491" s="80">
        <v>0</v>
      </c>
      <c r="AK491" s="80">
        <v>11</v>
      </c>
      <c r="AL491" s="80">
        <v>1</v>
      </c>
      <c r="AM491" s="80" t="s">
        <v>5614</v>
      </c>
      <c r="AN491" s="102" t="str">
        <f>HYPERLINK("https://www.youtube.com/watch?v=8ZBc2McCjGo")</f>
        <v>https://www.youtube.com/watch?v=8ZBc2McCjGo</v>
      </c>
      <c r="AO491" s="2"/>
      <c r="AP491" s="3"/>
      <c r="AQ491" s="3"/>
      <c r="AR491" s="3"/>
      <c r="AS491" s="3"/>
    </row>
    <row r="492" spans="1:45" ht="15">
      <c r="A492" s="66" t="s">
        <v>674</v>
      </c>
      <c r="B492" s="67"/>
      <c r="C492" s="67"/>
      <c r="D492" s="68"/>
      <c r="E492" s="70"/>
      <c r="F492" s="100" t="str">
        <f>HYPERLINK("https://i.ytimg.com/vi/bwJkFXxi4NA/default.jpg")</f>
        <v>https://i.ytimg.com/vi/bwJkFXxi4NA/default.jpg</v>
      </c>
      <c r="G492" s="67"/>
      <c r="H492" s="71"/>
      <c r="I492" s="72"/>
      <c r="J492" s="72"/>
      <c r="K492" s="71" t="s">
        <v>1725</v>
      </c>
      <c r="L492" s="75"/>
      <c r="M492" s="76">
        <v>3123.875732421875</v>
      </c>
      <c r="N492" s="76">
        <v>4026.193359375</v>
      </c>
      <c r="O492" s="77"/>
      <c r="P492" s="78"/>
      <c r="Q492" s="78"/>
      <c r="R492" s="82"/>
      <c r="S492" s="82"/>
      <c r="T492" s="82"/>
      <c r="U492" s="82"/>
      <c r="V492" s="52"/>
      <c r="W492" s="52"/>
      <c r="X492" s="52"/>
      <c r="Y492" s="52"/>
      <c r="Z492" s="51"/>
      <c r="AA492" s="73">
        <v>492</v>
      </c>
      <c r="AB492" s="73"/>
      <c r="AC492" s="74"/>
      <c r="AD492" s="80" t="s">
        <v>1725</v>
      </c>
      <c r="AE492" s="80"/>
      <c r="AF492" s="80"/>
      <c r="AG492" s="80" t="s">
        <v>3877</v>
      </c>
      <c r="AH492" s="80" t="s">
        <v>5045</v>
      </c>
      <c r="AI492" s="80">
        <v>73</v>
      </c>
      <c r="AJ492" s="80">
        <v>0</v>
      </c>
      <c r="AK492" s="80">
        <v>0</v>
      </c>
      <c r="AL492" s="80">
        <v>0</v>
      </c>
      <c r="AM492" s="80" t="s">
        <v>5614</v>
      </c>
      <c r="AN492" s="102" t="str">
        <f>HYPERLINK("https://www.youtube.com/watch?v=bwJkFXxi4NA")</f>
        <v>https://www.youtube.com/watch?v=bwJkFXxi4NA</v>
      </c>
      <c r="AO492" s="2"/>
      <c r="AP492" s="3"/>
      <c r="AQ492" s="3"/>
      <c r="AR492" s="3"/>
      <c r="AS492" s="3"/>
    </row>
    <row r="493" spans="1:45" ht="15">
      <c r="A493" s="66" t="s">
        <v>675</v>
      </c>
      <c r="B493" s="67"/>
      <c r="C493" s="67"/>
      <c r="D493" s="68"/>
      <c r="E493" s="70"/>
      <c r="F493" s="100" t="str">
        <f>HYPERLINK("https://i.ytimg.com/vi/kiODaEMVJQ8/default.jpg")</f>
        <v>https://i.ytimg.com/vi/kiODaEMVJQ8/default.jpg</v>
      </c>
      <c r="G493" s="67"/>
      <c r="H493" s="71"/>
      <c r="I493" s="72"/>
      <c r="J493" s="72"/>
      <c r="K493" s="71" t="s">
        <v>1726</v>
      </c>
      <c r="L493" s="75"/>
      <c r="M493" s="76">
        <v>7425.61669921875</v>
      </c>
      <c r="N493" s="76">
        <v>4325.201171875</v>
      </c>
      <c r="O493" s="77"/>
      <c r="P493" s="78"/>
      <c r="Q493" s="78"/>
      <c r="R493" s="82"/>
      <c r="S493" s="82"/>
      <c r="T493" s="82"/>
      <c r="U493" s="82"/>
      <c r="V493" s="52"/>
      <c r="W493" s="52"/>
      <c r="X493" s="52"/>
      <c r="Y493" s="52"/>
      <c r="Z493" s="51"/>
      <c r="AA493" s="73">
        <v>493</v>
      </c>
      <c r="AB493" s="73"/>
      <c r="AC493" s="74"/>
      <c r="AD493" s="80" t="s">
        <v>1726</v>
      </c>
      <c r="AE493" s="80" t="s">
        <v>2705</v>
      </c>
      <c r="AF493" s="80"/>
      <c r="AG493" s="80" t="s">
        <v>3877</v>
      </c>
      <c r="AH493" s="80" t="s">
        <v>5046</v>
      </c>
      <c r="AI493" s="80">
        <v>552</v>
      </c>
      <c r="AJ493" s="80">
        <v>0</v>
      </c>
      <c r="AK493" s="80">
        <v>6</v>
      </c>
      <c r="AL493" s="80">
        <v>0</v>
      </c>
      <c r="AM493" s="80" t="s">
        <v>5614</v>
      </c>
      <c r="AN493" s="102" t="str">
        <f>HYPERLINK("https://www.youtube.com/watch?v=kiODaEMVJQ8")</f>
        <v>https://www.youtube.com/watch?v=kiODaEMVJQ8</v>
      </c>
      <c r="AO493" s="2"/>
      <c r="AP493" s="3"/>
      <c r="AQ493" s="3"/>
      <c r="AR493" s="3"/>
      <c r="AS493" s="3"/>
    </row>
    <row r="494" spans="1:45" ht="15">
      <c r="A494" s="66" t="s">
        <v>676</v>
      </c>
      <c r="B494" s="67"/>
      <c r="C494" s="67"/>
      <c r="D494" s="68"/>
      <c r="E494" s="70"/>
      <c r="F494" s="100" t="str">
        <f>HYPERLINK("https://i.ytimg.com/vi/jAY-7GS9wg0/default.jpg")</f>
        <v>https://i.ytimg.com/vi/jAY-7GS9wg0/default.jpg</v>
      </c>
      <c r="G494" s="67"/>
      <c r="H494" s="71"/>
      <c r="I494" s="72"/>
      <c r="J494" s="72"/>
      <c r="K494" s="71" t="s">
        <v>1727</v>
      </c>
      <c r="L494" s="75"/>
      <c r="M494" s="76">
        <v>3259.48779296875</v>
      </c>
      <c r="N494" s="76">
        <v>4121.13525390625</v>
      </c>
      <c r="O494" s="77"/>
      <c r="P494" s="78"/>
      <c r="Q494" s="78"/>
      <c r="R494" s="82"/>
      <c r="S494" s="82"/>
      <c r="T494" s="82"/>
      <c r="U494" s="82"/>
      <c r="V494" s="52"/>
      <c r="W494" s="52"/>
      <c r="X494" s="52"/>
      <c r="Y494" s="52"/>
      <c r="Z494" s="51"/>
      <c r="AA494" s="73">
        <v>494</v>
      </c>
      <c r="AB494" s="73"/>
      <c r="AC494" s="74"/>
      <c r="AD494" s="80" t="s">
        <v>1727</v>
      </c>
      <c r="AE494" s="80" t="s">
        <v>2706</v>
      </c>
      <c r="AF494" s="80"/>
      <c r="AG494" s="80" t="s">
        <v>3877</v>
      </c>
      <c r="AH494" s="80" t="s">
        <v>5047</v>
      </c>
      <c r="AI494" s="80">
        <v>757</v>
      </c>
      <c r="AJ494" s="80">
        <v>0</v>
      </c>
      <c r="AK494" s="80">
        <v>8</v>
      </c>
      <c r="AL494" s="80">
        <v>0</v>
      </c>
      <c r="AM494" s="80" t="s">
        <v>5614</v>
      </c>
      <c r="AN494" s="102" t="str">
        <f>HYPERLINK("https://www.youtube.com/watch?v=jAY-7GS9wg0")</f>
        <v>https://www.youtube.com/watch?v=jAY-7GS9wg0</v>
      </c>
      <c r="AO494" s="2"/>
      <c r="AP494" s="3"/>
      <c r="AQ494" s="3"/>
      <c r="AR494" s="3"/>
      <c r="AS494" s="3"/>
    </row>
    <row r="495" spans="1:45" ht="15">
      <c r="A495" s="66" t="s">
        <v>677</v>
      </c>
      <c r="B495" s="67"/>
      <c r="C495" s="67"/>
      <c r="D495" s="68"/>
      <c r="E495" s="70"/>
      <c r="F495" s="100" t="str">
        <f>HYPERLINK("https://i.ytimg.com/vi/epPrEGFvtYc/default.jpg")</f>
        <v>https://i.ytimg.com/vi/epPrEGFvtYc/default.jpg</v>
      </c>
      <c r="G495" s="67"/>
      <c r="H495" s="71"/>
      <c r="I495" s="72"/>
      <c r="J495" s="72"/>
      <c r="K495" s="71" t="s">
        <v>1728</v>
      </c>
      <c r="L495" s="75"/>
      <c r="M495" s="76">
        <v>3237.50927734375</v>
      </c>
      <c r="N495" s="76">
        <v>4204.62744140625</v>
      </c>
      <c r="O495" s="77"/>
      <c r="P495" s="78"/>
      <c r="Q495" s="78"/>
      <c r="R495" s="82"/>
      <c r="S495" s="82"/>
      <c r="T495" s="82"/>
      <c r="U495" s="82"/>
      <c r="V495" s="52"/>
      <c r="W495" s="52"/>
      <c r="X495" s="52"/>
      <c r="Y495" s="52"/>
      <c r="Z495" s="51"/>
      <c r="AA495" s="73">
        <v>495</v>
      </c>
      <c r="AB495" s="73"/>
      <c r="AC495" s="74"/>
      <c r="AD495" s="80" t="s">
        <v>1728</v>
      </c>
      <c r="AE495" s="80" t="s">
        <v>2707</v>
      </c>
      <c r="AF495" s="80"/>
      <c r="AG495" s="80" t="s">
        <v>3877</v>
      </c>
      <c r="AH495" s="80" t="s">
        <v>5048</v>
      </c>
      <c r="AI495" s="80">
        <v>273</v>
      </c>
      <c r="AJ495" s="80">
        <v>0</v>
      </c>
      <c r="AK495" s="80">
        <v>7</v>
      </c>
      <c r="AL495" s="80">
        <v>0</v>
      </c>
      <c r="AM495" s="80" t="s">
        <v>5614</v>
      </c>
      <c r="AN495" s="102" t="str">
        <f>HYPERLINK("https://www.youtube.com/watch?v=epPrEGFvtYc")</f>
        <v>https://www.youtube.com/watch?v=epPrEGFvtYc</v>
      </c>
      <c r="AO495" s="2"/>
      <c r="AP495" s="3"/>
      <c r="AQ495" s="3"/>
      <c r="AR495" s="3"/>
      <c r="AS495" s="3"/>
    </row>
    <row r="496" spans="1:45" ht="15">
      <c r="A496" s="66" t="s">
        <v>678</v>
      </c>
      <c r="B496" s="67"/>
      <c r="C496" s="67"/>
      <c r="D496" s="68"/>
      <c r="E496" s="70"/>
      <c r="F496" s="100" t="str">
        <f>HYPERLINK("https://i.ytimg.com/vi/yI4spHZjO98/default.jpg")</f>
        <v>https://i.ytimg.com/vi/yI4spHZjO98/default.jpg</v>
      </c>
      <c r="G496" s="67"/>
      <c r="H496" s="71"/>
      <c r="I496" s="72"/>
      <c r="J496" s="72"/>
      <c r="K496" s="71" t="s">
        <v>1729</v>
      </c>
      <c r="L496" s="75"/>
      <c r="M496" s="76">
        <v>3078.8583984375</v>
      </c>
      <c r="N496" s="76">
        <v>4500.36474609375</v>
      </c>
      <c r="O496" s="77"/>
      <c r="P496" s="78"/>
      <c r="Q496" s="78"/>
      <c r="R496" s="82"/>
      <c r="S496" s="82"/>
      <c r="T496" s="82"/>
      <c r="U496" s="82"/>
      <c r="V496" s="52"/>
      <c r="W496" s="52"/>
      <c r="X496" s="52"/>
      <c r="Y496" s="52"/>
      <c r="Z496" s="51"/>
      <c r="AA496" s="73">
        <v>496</v>
      </c>
      <c r="AB496" s="73"/>
      <c r="AC496" s="74"/>
      <c r="AD496" s="80" t="s">
        <v>1729</v>
      </c>
      <c r="AE496" s="80"/>
      <c r="AF496" s="80"/>
      <c r="AG496" s="80" t="s">
        <v>3877</v>
      </c>
      <c r="AH496" s="80" t="s">
        <v>5049</v>
      </c>
      <c r="AI496" s="80">
        <v>203</v>
      </c>
      <c r="AJ496" s="80">
        <v>0</v>
      </c>
      <c r="AK496" s="80">
        <v>1</v>
      </c>
      <c r="AL496" s="80">
        <v>0</v>
      </c>
      <c r="AM496" s="80" t="s">
        <v>5614</v>
      </c>
      <c r="AN496" s="102" t="str">
        <f>HYPERLINK("https://www.youtube.com/watch?v=yI4spHZjO98")</f>
        <v>https://www.youtube.com/watch?v=yI4spHZjO98</v>
      </c>
      <c r="AO496" s="2"/>
      <c r="AP496" s="3"/>
      <c r="AQ496" s="3"/>
      <c r="AR496" s="3"/>
      <c r="AS496" s="3"/>
    </row>
    <row r="497" spans="1:45" ht="15">
      <c r="A497" s="66" t="s">
        <v>679</v>
      </c>
      <c r="B497" s="67"/>
      <c r="C497" s="67"/>
      <c r="D497" s="68"/>
      <c r="E497" s="70"/>
      <c r="F497" s="100" t="str">
        <f>HYPERLINK("https://i.ytimg.com/vi/9vasrbZ-ez8/default.jpg")</f>
        <v>https://i.ytimg.com/vi/9vasrbZ-ez8/default.jpg</v>
      </c>
      <c r="G497" s="67"/>
      <c r="H497" s="71"/>
      <c r="I497" s="72"/>
      <c r="J497" s="72"/>
      <c r="K497" s="71" t="s">
        <v>1730</v>
      </c>
      <c r="L497" s="75"/>
      <c r="M497" s="76">
        <v>3054.484619140625</v>
      </c>
      <c r="N497" s="76">
        <v>4430.9697265625</v>
      </c>
      <c r="O497" s="77"/>
      <c r="P497" s="78"/>
      <c r="Q497" s="78"/>
      <c r="R497" s="82"/>
      <c r="S497" s="82"/>
      <c r="T497" s="82"/>
      <c r="U497" s="82"/>
      <c r="V497" s="52"/>
      <c r="W497" s="52"/>
      <c r="X497" s="52"/>
      <c r="Y497" s="52"/>
      <c r="Z497" s="51"/>
      <c r="AA497" s="73">
        <v>497</v>
      </c>
      <c r="AB497" s="73"/>
      <c r="AC497" s="74"/>
      <c r="AD497" s="80" t="s">
        <v>1730</v>
      </c>
      <c r="AE497" s="80"/>
      <c r="AF497" s="80"/>
      <c r="AG497" s="80" t="s">
        <v>3877</v>
      </c>
      <c r="AH497" s="80" t="s">
        <v>5050</v>
      </c>
      <c r="AI497" s="80">
        <v>425</v>
      </c>
      <c r="AJ497" s="80">
        <v>1</v>
      </c>
      <c r="AK497" s="80">
        <v>3</v>
      </c>
      <c r="AL497" s="80">
        <v>0</v>
      </c>
      <c r="AM497" s="80" t="s">
        <v>5614</v>
      </c>
      <c r="AN497" s="102" t="str">
        <f>HYPERLINK("https://www.youtube.com/watch?v=9vasrbZ-ez8")</f>
        <v>https://www.youtube.com/watch?v=9vasrbZ-ez8</v>
      </c>
      <c r="AO497" s="2"/>
      <c r="AP497" s="3"/>
      <c r="AQ497" s="3"/>
      <c r="AR497" s="3"/>
      <c r="AS497" s="3"/>
    </row>
    <row r="498" spans="1:45" ht="15">
      <c r="A498" s="66" t="s">
        <v>680</v>
      </c>
      <c r="B498" s="67"/>
      <c r="C498" s="67"/>
      <c r="D498" s="68"/>
      <c r="E498" s="70"/>
      <c r="F498" s="100" t="str">
        <f>HYPERLINK("https://i.ytimg.com/vi/foeMt2U8Vao/default.jpg")</f>
        <v>https://i.ytimg.com/vi/foeMt2U8Vao/default.jpg</v>
      </c>
      <c r="G498" s="67"/>
      <c r="H498" s="71"/>
      <c r="I498" s="72"/>
      <c r="J498" s="72"/>
      <c r="K498" s="71" t="s">
        <v>1731</v>
      </c>
      <c r="L498" s="75"/>
      <c r="M498" s="76">
        <v>3024.976806640625</v>
      </c>
      <c r="N498" s="76">
        <v>4319.94287109375</v>
      </c>
      <c r="O498" s="77"/>
      <c r="P498" s="78"/>
      <c r="Q498" s="78"/>
      <c r="R498" s="82"/>
      <c r="S498" s="82"/>
      <c r="T498" s="82"/>
      <c r="U498" s="82"/>
      <c r="V498" s="52"/>
      <c r="W498" s="52"/>
      <c r="X498" s="52"/>
      <c r="Y498" s="52"/>
      <c r="Z498" s="51"/>
      <c r="AA498" s="73">
        <v>498</v>
      </c>
      <c r="AB498" s="73"/>
      <c r="AC498" s="74"/>
      <c r="AD498" s="80" t="s">
        <v>1731</v>
      </c>
      <c r="AE498" s="80" t="s">
        <v>2708</v>
      </c>
      <c r="AF498" s="80"/>
      <c r="AG498" s="80" t="s">
        <v>3877</v>
      </c>
      <c r="AH498" s="80" t="s">
        <v>5051</v>
      </c>
      <c r="AI498" s="80">
        <v>1806</v>
      </c>
      <c r="AJ498" s="80">
        <v>0</v>
      </c>
      <c r="AK498" s="80">
        <v>9</v>
      </c>
      <c r="AL498" s="80">
        <v>0</v>
      </c>
      <c r="AM498" s="80" t="s">
        <v>5614</v>
      </c>
      <c r="AN498" s="102" t="str">
        <f>HYPERLINK("https://www.youtube.com/watch?v=foeMt2U8Vao")</f>
        <v>https://www.youtube.com/watch?v=foeMt2U8Vao</v>
      </c>
      <c r="AO498" s="2"/>
      <c r="AP498" s="3"/>
      <c r="AQ498" s="3"/>
      <c r="AR498" s="3"/>
      <c r="AS498" s="3"/>
    </row>
    <row r="499" spans="1:45" ht="15">
      <c r="A499" s="66" t="s">
        <v>681</v>
      </c>
      <c r="B499" s="67"/>
      <c r="C499" s="67"/>
      <c r="D499" s="68"/>
      <c r="E499" s="70"/>
      <c r="F499" s="100" t="str">
        <f>HYPERLINK("https://i.ytimg.com/vi/gNjJsiWGKs8/default.jpg")</f>
        <v>https://i.ytimg.com/vi/gNjJsiWGKs8/default.jpg</v>
      </c>
      <c r="G499" s="67"/>
      <c r="H499" s="71"/>
      <c r="I499" s="72"/>
      <c r="J499" s="72"/>
      <c r="K499" s="71" t="s">
        <v>1732</v>
      </c>
      <c r="L499" s="75"/>
      <c r="M499" s="76">
        <v>3186.2734375</v>
      </c>
      <c r="N499" s="76">
        <v>4577.875</v>
      </c>
      <c r="O499" s="77"/>
      <c r="P499" s="78"/>
      <c r="Q499" s="78"/>
      <c r="R499" s="82"/>
      <c r="S499" s="82"/>
      <c r="T499" s="82"/>
      <c r="U499" s="82"/>
      <c r="V499" s="52"/>
      <c r="W499" s="52"/>
      <c r="X499" s="52"/>
      <c r="Y499" s="52"/>
      <c r="Z499" s="51"/>
      <c r="AA499" s="73">
        <v>499</v>
      </c>
      <c r="AB499" s="73"/>
      <c r="AC499" s="74"/>
      <c r="AD499" s="80" t="s">
        <v>1732</v>
      </c>
      <c r="AE499" s="80" t="s">
        <v>2709</v>
      </c>
      <c r="AF499" s="80" t="s">
        <v>3488</v>
      </c>
      <c r="AG499" s="80" t="s">
        <v>3877</v>
      </c>
      <c r="AH499" s="80" t="s">
        <v>5052</v>
      </c>
      <c r="AI499" s="80">
        <v>109</v>
      </c>
      <c r="AJ499" s="80">
        <v>0</v>
      </c>
      <c r="AK499" s="80">
        <v>0</v>
      </c>
      <c r="AL499" s="80">
        <v>0</v>
      </c>
      <c r="AM499" s="80" t="s">
        <v>5614</v>
      </c>
      <c r="AN499" s="102" t="str">
        <f>HYPERLINK("https://www.youtube.com/watch?v=gNjJsiWGKs8")</f>
        <v>https://www.youtube.com/watch?v=gNjJsiWGKs8</v>
      </c>
      <c r="AO499" s="2"/>
      <c r="AP499" s="3"/>
      <c r="AQ499" s="3"/>
      <c r="AR499" s="3"/>
      <c r="AS499" s="3"/>
    </row>
    <row r="500" spans="1:45" ht="15">
      <c r="A500" s="66" t="s">
        <v>682</v>
      </c>
      <c r="B500" s="67"/>
      <c r="C500" s="67"/>
      <c r="D500" s="68"/>
      <c r="E500" s="70"/>
      <c r="F500" s="100" t="str">
        <f>HYPERLINK("https://i.ytimg.com/vi/hQhypfqkVC4/default.jpg")</f>
        <v>https://i.ytimg.com/vi/hQhypfqkVC4/default.jpg</v>
      </c>
      <c r="G500" s="67"/>
      <c r="H500" s="71"/>
      <c r="I500" s="72"/>
      <c r="J500" s="72"/>
      <c r="K500" s="71" t="s">
        <v>1733</v>
      </c>
      <c r="L500" s="75"/>
      <c r="M500" s="76">
        <v>3092.481201171875</v>
      </c>
      <c r="N500" s="76">
        <v>4248.173828125</v>
      </c>
      <c r="O500" s="77"/>
      <c r="P500" s="78"/>
      <c r="Q500" s="78"/>
      <c r="R500" s="82"/>
      <c r="S500" s="82"/>
      <c r="T500" s="82"/>
      <c r="U500" s="82"/>
      <c r="V500" s="52"/>
      <c r="W500" s="52"/>
      <c r="X500" s="52"/>
      <c r="Y500" s="52"/>
      <c r="Z500" s="51"/>
      <c r="AA500" s="73">
        <v>500</v>
      </c>
      <c r="AB500" s="73"/>
      <c r="AC500" s="74"/>
      <c r="AD500" s="80" t="s">
        <v>1733</v>
      </c>
      <c r="AE500" s="80" t="s">
        <v>2710</v>
      </c>
      <c r="AF500" s="80" t="s">
        <v>3489</v>
      </c>
      <c r="AG500" s="80" t="s">
        <v>3877</v>
      </c>
      <c r="AH500" s="80" t="s">
        <v>5053</v>
      </c>
      <c r="AI500" s="80">
        <v>2396</v>
      </c>
      <c r="AJ500" s="80">
        <v>0</v>
      </c>
      <c r="AK500" s="80">
        <v>7</v>
      </c>
      <c r="AL500" s="80">
        <v>0</v>
      </c>
      <c r="AM500" s="80" t="s">
        <v>5614</v>
      </c>
      <c r="AN500" s="102" t="str">
        <f>HYPERLINK("https://www.youtube.com/watch?v=hQhypfqkVC4")</f>
        <v>https://www.youtube.com/watch?v=hQhypfqkVC4</v>
      </c>
      <c r="AO500" s="2"/>
      <c r="AP500" s="3"/>
      <c r="AQ500" s="3"/>
      <c r="AR500" s="3"/>
      <c r="AS500" s="3"/>
    </row>
    <row r="501" spans="1:45" ht="15">
      <c r="A501" s="66" t="s">
        <v>683</v>
      </c>
      <c r="B501" s="67"/>
      <c r="C501" s="67"/>
      <c r="D501" s="68"/>
      <c r="E501" s="70"/>
      <c r="F501" s="100" t="str">
        <f>HYPERLINK("https://i.ytimg.com/vi/hhxqX1nnZMM/default.jpg")</f>
        <v>https://i.ytimg.com/vi/hhxqX1nnZMM/default.jpg</v>
      </c>
      <c r="G501" s="67"/>
      <c r="H501" s="71"/>
      <c r="I501" s="72"/>
      <c r="J501" s="72"/>
      <c r="K501" s="71" t="s">
        <v>1734</v>
      </c>
      <c r="L501" s="75"/>
      <c r="M501" s="76">
        <v>3081.374755859375</v>
      </c>
      <c r="N501" s="76">
        <v>4505.44873046875</v>
      </c>
      <c r="O501" s="77"/>
      <c r="P501" s="78"/>
      <c r="Q501" s="78"/>
      <c r="R501" s="82"/>
      <c r="S501" s="82"/>
      <c r="T501" s="82"/>
      <c r="U501" s="82"/>
      <c r="V501" s="52"/>
      <c r="W501" s="52"/>
      <c r="X501" s="52"/>
      <c r="Y501" s="52"/>
      <c r="Z501" s="51"/>
      <c r="AA501" s="73">
        <v>501</v>
      </c>
      <c r="AB501" s="73"/>
      <c r="AC501" s="74"/>
      <c r="AD501" s="80" t="s">
        <v>1734</v>
      </c>
      <c r="AE501" s="80" t="s">
        <v>2711</v>
      </c>
      <c r="AF501" s="80" t="s">
        <v>3490</v>
      </c>
      <c r="AG501" s="80" t="s">
        <v>3877</v>
      </c>
      <c r="AH501" s="80" t="s">
        <v>5054</v>
      </c>
      <c r="AI501" s="80">
        <v>201</v>
      </c>
      <c r="AJ501" s="80">
        <v>0</v>
      </c>
      <c r="AK501" s="80">
        <v>0</v>
      </c>
      <c r="AL501" s="80">
        <v>0</v>
      </c>
      <c r="AM501" s="80" t="s">
        <v>5614</v>
      </c>
      <c r="AN501" s="102" t="str">
        <f>HYPERLINK("https://www.youtube.com/watch?v=hhxqX1nnZMM")</f>
        <v>https://www.youtube.com/watch?v=hhxqX1nnZMM</v>
      </c>
      <c r="AO501" s="2"/>
      <c r="AP501" s="3"/>
      <c r="AQ501" s="3"/>
      <c r="AR501" s="3"/>
      <c r="AS501" s="3"/>
    </row>
    <row r="502" spans="1:45" ht="15">
      <c r="A502" s="66" t="s">
        <v>684</v>
      </c>
      <c r="B502" s="67"/>
      <c r="C502" s="67"/>
      <c r="D502" s="68"/>
      <c r="E502" s="70"/>
      <c r="F502" s="100" t="str">
        <f>HYPERLINK("https://i.ytimg.com/vi/lF7DV1_DPDg/default.jpg")</f>
        <v>https://i.ytimg.com/vi/lF7DV1_DPDg/default.jpg</v>
      </c>
      <c r="G502" s="67"/>
      <c r="H502" s="71"/>
      <c r="I502" s="72"/>
      <c r="J502" s="72"/>
      <c r="K502" s="71" t="s">
        <v>1735</v>
      </c>
      <c r="L502" s="75"/>
      <c r="M502" s="76">
        <v>3275.312744140625</v>
      </c>
      <c r="N502" s="76">
        <v>4252.90478515625</v>
      </c>
      <c r="O502" s="77"/>
      <c r="P502" s="78"/>
      <c r="Q502" s="78"/>
      <c r="R502" s="82"/>
      <c r="S502" s="82"/>
      <c r="T502" s="82"/>
      <c r="U502" s="82"/>
      <c r="V502" s="52"/>
      <c r="W502" s="52"/>
      <c r="X502" s="52"/>
      <c r="Y502" s="52"/>
      <c r="Z502" s="51"/>
      <c r="AA502" s="73">
        <v>502</v>
      </c>
      <c r="AB502" s="73"/>
      <c r="AC502" s="74"/>
      <c r="AD502" s="80" t="s">
        <v>1735</v>
      </c>
      <c r="AE502" s="80" t="s">
        <v>2712</v>
      </c>
      <c r="AF502" s="80" t="s">
        <v>3491</v>
      </c>
      <c r="AG502" s="80" t="s">
        <v>3877</v>
      </c>
      <c r="AH502" s="80" t="s">
        <v>5055</v>
      </c>
      <c r="AI502" s="80">
        <v>111</v>
      </c>
      <c r="AJ502" s="80">
        <v>0</v>
      </c>
      <c r="AK502" s="80">
        <v>7</v>
      </c>
      <c r="AL502" s="80">
        <v>0</v>
      </c>
      <c r="AM502" s="80" t="s">
        <v>5614</v>
      </c>
      <c r="AN502" s="102" t="str">
        <f>HYPERLINK("https://www.youtube.com/watch?v=lF7DV1_DPDg")</f>
        <v>https://www.youtube.com/watch?v=lF7DV1_DPDg</v>
      </c>
      <c r="AO502" s="2"/>
      <c r="AP502" s="3"/>
      <c r="AQ502" s="3"/>
      <c r="AR502" s="3"/>
      <c r="AS502" s="3"/>
    </row>
    <row r="503" spans="1:45" ht="15">
      <c r="A503" s="66" t="s">
        <v>685</v>
      </c>
      <c r="B503" s="67"/>
      <c r="C503" s="67"/>
      <c r="D503" s="68"/>
      <c r="E503" s="70"/>
      <c r="F503" s="100" t="str">
        <f>HYPERLINK("https://i.ytimg.com/vi/sPXhVKVEj_0/default.jpg")</f>
        <v>https://i.ytimg.com/vi/sPXhVKVEj_0/default.jpg</v>
      </c>
      <c r="G503" s="67"/>
      <c r="H503" s="71"/>
      <c r="I503" s="72"/>
      <c r="J503" s="72"/>
      <c r="K503" s="71" t="s">
        <v>1736</v>
      </c>
      <c r="L503" s="75"/>
      <c r="M503" s="76">
        <v>3032.69580078125</v>
      </c>
      <c r="N503" s="76">
        <v>4237.2919921875</v>
      </c>
      <c r="O503" s="77"/>
      <c r="P503" s="78"/>
      <c r="Q503" s="78"/>
      <c r="R503" s="82"/>
      <c r="S503" s="82"/>
      <c r="T503" s="82"/>
      <c r="U503" s="82"/>
      <c r="V503" s="52"/>
      <c r="W503" s="52"/>
      <c r="X503" s="52"/>
      <c r="Y503" s="52"/>
      <c r="Z503" s="51"/>
      <c r="AA503" s="73">
        <v>503</v>
      </c>
      <c r="AB503" s="73"/>
      <c r="AC503" s="74"/>
      <c r="AD503" s="80" t="s">
        <v>1736</v>
      </c>
      <c r="AE503" s="80"/>
      <c r="AF503" s="80"/>
      <c r="AG503" s="80" t="s">
        <v>3877</v>
      </c>
      <c r="AH503" s="80" t="s">
        <v>5056</v>
      </c>
      <c r="AI503" s="80">
        <v>190</v>
      </c>
      <c r="AJ503" s="80">
        <v>0</v>
      </c>
      <c r="AK503" s="80">
        <v>1</v>
      </c>
      <c r="AL503" s="80">
        <v>0</v>
      </c>
      <c r="AM503" s="80" t="s">
        <v>5614</v>
      </c>
      <c r="AN503" s="102" t="str">
        <f>HYPERLINK("https://www.youtube.com/watch?v=sPXhVKVEj_0")</f>
        <v>https://www.youtube.com/watch?v=sPXhVKVEj_0</v>
      </c>
      <c r="AO503" s="2"/>
      <c r="AP503" s="3"/>
      <c r="AQ503" s="3"/>
      <c r="AR503" s="3"/>
      <c r="AS503" s="3"/>
    </row>
    <row r="504" spans="1:45" ht="15">
      <c r="A504" s="66" t="s">
        <v>686</v>
      </c>
      <c r="B504" s="67"/>
      <c r="C504" s="67"/>
      <c r="D504" s="68"/>
      <c r="E504" s="70"/>
      <c r="F504" s="100" t="str">
        <f>HYPERLINK("https://i.ytimg.com/vi/De29P_jde1g/default.jpg")</f>
        <v>https://i.ytimg.com/vi/De29P_jde1g/default.jpg</v>
      </c>
      <c r="G504" s="67"/>
      <c r="H504" s="71"/>
      <c r="I504" s="72"/>
      <c r="J504" s="72"/>
      <c r="K504" s="71" t="s">
        <v>1737</v>
      </c>
      <c r="L504" s="75"/>
      <c r="M504" s="76">
        <v>3051.4189453125</v>
      </c>
      <c r="N504" s="76">
        <v>4093.351806640625</v>
      </c>
      <c r="O504" s="77"/>
      <c r="P504" s="78"/>
      <c r="Q504" s="78"/>
      <c r="R504" s="82"/>
      <c r="S504" s="82"/>
      <c r="T504" s="82"/>
      <c r="U504" s="82"/>
      <c r="V504" s="52"/>
      <c r="W504" s="52"/>
      <c r="X504" s="52"/>
      <c r="Y504" s="52"/>
      <c r="Z504" s="51"/>
      <c r="AA504" s="73">
        <v>504</v>
      </c>
      <c r="AB504" s="73"/>
      <c r="AC504" s="74"/>
      <c r="AD504" s="80" t="s">
        <v>1737</v>
      </c>
      <c r="AE504" s="80"/>
      <c r="AF504" s="80"/>
      <c r="AG504" s="80" t="s">
        <v>3877</v>
      </c>
      <c r="AH504" s="80" t="s">
        <v>5057</v>
      </c>
      <c r="AI504" s="80">
        <v>422</v>
      </c>
      <c r="AJ504" s="80">
        <v>0</v>
      </c>
      <c r="AK504" s="80">
        <v>2</v>
      </c>
      <c r="AL504" s="80">
        <v>0</v>
      </c>
      <c r="AM504" s="80" t="s">
        <v>5614</v>
      </c>
      <c r="AN504" s="102" t="str">
        <f>HYPERLINK("https://www.youtube.com/watch?v=De29P_jde1g")</f>
        <v>https://www.youtube.com/watch?v=De29P_jde1g</v>
      </c>
      <c r="AO504" s="2"/>
      <c r="AP504" s="3"/>
      <c r="AQ504" s="3"/>
      <c r="AR504" s="3"/>
      <c r="AS504" s="3"/>
    </row>
    <row r="505" spans="1:45" ht="15">
      <c r="A505" s="66" t="s">
        <v>687</v>
      </c>
      <c r="B505" s="67"/>
      <c r="C505" s="67"/>
      <c r="D505" s="68"/>
      <c r="E505" s="70"/>
      <c r="F505" s="100" t="str">
        <f>HYPERLINK("https://i.ytimg.com/vi/AIxTo1PWdlc/default.jpg")</f>
        <v>https://i.ytimg.com/vi/AIxTo1PWdlc/default.jpg</v>
      </c>
      <c r="G505" s="67"/>
      <c r="H505" s="71"/>
      <c r="I505" s="72"/>
      <c r="J505" s="72"/>
      <c r="K505" s="71" t="s">
        <v>1738</v>
      </c>
      <c r="L505" s="75"/>
      <c r="M505" s="76">
        <v>3171.873779296875</v>
      </c>
      <c r="N505" s="76">
        <v>4568.84765625</v>
      </c>
      <c r="O505" s="77"/>
      <c r="P505" s="78"/>
      <c r="Q505" s="78"/>
      <c r="R505" s="82"/>
      <c r="S505" s="82"/>
      <c r="T505" s="82"/>
      <c r="U505" s="82"/>
      <c r="V505" s="52"/>
      <c r="W505" s="52"/>
      <c r="X505" s="52"/>
      <c r="Y505" s="52"/>
      <c r="Z505" s="51"/>
      <c r="AA505" s="73">
        <v>505</v>
      </c>
      <c r="AB505" s="73"/>
      <c r="AC505" s="74"/>
      <c r="AD505" s="80" t="s">
        <v>1738</v>
      </c>
      <c r="AE505" s="80" t="s">
        <v>2713</v>
      </c>
      <c r="AF505" s="80"/>
      <c r="AG505" s="80" t="s">
        <v>3877</v>
      </c>
      <c r="AH505" s="80" t="s">
        <v>5058</v>
      </c>
      <c r="AI505" s="80">
        <v>425</v>
      </c>
      <c r="AJ505" s="80">
        <v>0</v>
      </c>
      <c r="AK505" s="80">
        <v>3</v>
      </c>
      <c r="AL505" s="80">
        <v>0</v>
      </c>
      <c r="AM505" s="80" t="s">
        <v>5614</v>
      </c>
      <c r="AN505" s="102" t="str">
        <f>HYPERLINK("https://www.youtube.com/watch?v=AIxTo1PWdlc")</f>
        <v>https://www.youtube.com/watch?v=AIxTo1PWdlc</v>
      </c>
      <c r="AO505" s="2"/>
      <c r="AP505" s="3"/>
      <c r="AQ505" s="3"/>
      <c r="AR505" s="3"/>
      <c r="AS505" s="3"/>
    </row>
    <row r="506" spans="1:45" ht="15">
      <c r="A506" s="66" t="s">
        <v>688</v>
      </c>
      <c r="B506" s="67"/>
      <c r="C506" s="67"/>
      <c r="D506" s="68"/>
      <c r="E506" s="70"/>
      <c r="F506" s="100" t="str">
        <f>HYPERLINK("https://i.ytimg.com/vi/vSjzx4W_eN0/default.jpg")</f>
        <v>https://i.ytimg.com/vi/vSjzx4W_eN0/default.jpg</v>
      </c>
      <c r="G506" s="67"/>
      <c r="H506" s="71"/>
      <c r="I506" s="72"/>
      <c r="J506" s="72"/>
      <c r="K506" s="71" t="s">
        <v>1739</v>
      </c>
      <c r="L506" s="75"/>
      <c r="M506" s="76">
        <v>4480.0029296875</v>
      </c>
      <c r="N506" s="76">
        <v>2827.17431640625</v>
      </c>
      <c r="O506" s="77"/>
      <c r="P506" s="78"/>
      <c r="Q506" s="78"/>
      <c r="R506" s="82"/>
      <c r="S506" s="82"/>
      <c r="T506" s="82"/>
      <c r="U506" s="82"/>
      <c r="V506" s="52"/>
      <c r="W506" s="52"/>
      <c r="X506" s="52"/>
      <c r="Y506" s="52"/>
      <c r="Z506" s="51"/>
      <c r="AA506" s="73">
        <v>506</v>
      </c>
      <c r="AB506" s="73"/>
      <c r="AC506" s="74"/>
      <c r="AD506" s="80" t="s">
        <v>1739</v>
      </c>
      <c r="AE506" s="80" t="s">
        <v>2714</v>
      </c>
      <c r="AF506" s="80" t="s">
        <v>3492</v>
      </c>
      <c r="AG506" s="80" t="s">
        <v>3877</v>
      </c>
      <c r="AH506" s="80" t="s">
        <v>5059</v>
      </c>
      <c r="AI506" s="80">
        <v>131</v>
      </c>
      <c r="AJ506" s="80">
        <v>0</v>
      </c>
      <c r="AK506" s="80">
        <v>5</v>
      </c>
      <c r="AL506" s="80">
        <v>0</v>
      </c>
      <c r="AM506" s="80" t="s">
        <v>5614</v>
      </c>
      <c r="AN506" s="102" t="str">
        <f>HYPERLINK("https://www.youtube.com/watch?v=vSjzx4W_eN0")</f>
        <v>https://www.youtube.com/watch?v=vSjzx4W_eN0</v>
      </c>
      <c r="AO506" s="2"/>
      <c r="AP506" s="3"/>
      <c r="AQ506" s="3"/>
      <c r="AR506" s="3"/>
      <c r="AS506" s="3"/>
    </row>
    <row r="507" spans="1:45" ht="15">
      <c r="A507" s="66" t="s">
        <v>689</v>
      </c>
      <c r="B507" s="67"/>
      <c r="C507" s="67"/>
      <c r="D507" s="68"/>
      <c r="E507" s="70"/>
      <c r="F507" s="100" t="str">
        <f>HYPERLINK("https://i.ytimg.com/vi/coHi15p2XHA/default.jpg")</f>
        <v>https://i.ytimg.com/vi/coHi15p2XHA/default.jpg</v>
      </c>
      <c r="G507" s="67"/>
      <c r="H507" s="71"/>
      <c r="I507" s="72"/>
      <c r="J507" s="72"/>
      <c r="K507" s="71" t="s">
        <v>1740</v>
      </c>
      <c r="L507" s="75"/>
      <c r="M507" s="76">
        <v>2239.645263671875</v>
      </c>
      <c r="N507" s="76">
        <v>3208.914306640625</v>
      </c>
      <c r="O507" s="77"/>
      <c r="P507" s="78"/>
      <c r="Q507" s="78"/>
      <c r="R507" s="82"/>
      <c r="S507" s="82"/>
      <c r="T507" s="82"/>
      <c r="U507" s="82"/>
      <c r="V507" s="52"/>
      <c r="W507" s="52"/>
      <c r="X507" s="52"/>
      <c r="Y507" s="52"/>
      <c r="Z507" s="51"/>
      <c r="AA507" s="73">
        <v>507</v>
      </c>
      <c r="AB507" s="73"/>
      <c r="AC507" s="74"/>
      <c r="AD507" s="80" t="s">
        <v>1740</v>
      </c>
      <c r="AE507" s="80" t="s">
        <v>2715</v>
      </c>
      <c r="AF507" s="80" t="s">
        <v>3493</v>
      </c>
      <c r="AG507" s="80" t="s">
        <v>4200</v>
      </c>
      <c r="AH507" s="80" t="s">
        <v>5060</v>
      </c>
      <c r="AI507" s="80">
        <v>331618</v>
      </c>
      <c r="AJ507" s="80">
        <v>64</v>
      </c>
      <c r="AK507" s="80">
        <v>5460</v>
      </c>
      <c r="AL507" s="80">
        <v>202</v>
      </c>
      <c r="AM507" s="80" t="s">
        <v>5614</v>
      </c>
      <c r="AN507" s="102" t="str">
        <f>HYPERLINK("https://www.youtube.com/watch?v=coHi15p2XHA")</f>
        <v>https://www.youtube.com/watch?v=coHi15p2XHA</v>
      </c>
      <c r="AO507" s="2"/>
      <c r="AP507" s="3"/>
      <c r="AQ507" s="3"/>
      <c r="AR507" s="3"/>
      <c r="AS507" s="3"/>
    </row>
    <row r="508" spans="1:45" ht="15">
      <c r="A508" s="66" t="s">
        <v>690</v>
      </c>
      <c r="B508" s="67"/>
      <c r="C508" s="67"/>
      <c r="D508" s="68"/>
      <c r="E508" s="70"/>
      <c r="F508" s="100" t="str">
        <f>HYPERLINK("https://i.ytimg.com/vi/Flt1EJj_fIY/default.jpg")</f>
        <v>https://i.ytimg.com/vi/Flt1EJj_fIY/default.jpg</v>
      </c>
      <c r="G508" s="67"/>
      <c r="H508" s="71"/>
      <c r="I508" s="72"/>
      <c r="J508" s="72"/>
      <c r="K508" s="71" t="s">
        <v>1741</v>
      </c>
      <c r="L508" s="75"/>
      <c r="M508" s="76">
        <v>3337.49951171875</v>
      </c>
      <c r="N508" s="76">
        <v>2223.771484375</v>
      </c>
      <c r="O508" s="77"/>
      <c r="P508" s="78"/>
      <c r="Q508" s="78"/>
      <c r="R508" s="82"/>
      <c r="S508" s="82"/>
      <c r="T508" s="82"/>
      <c r="U508" s="82"/>
      <c r="V508" s="52"/>
      <c r="W508" s="52"/>
      <c r="X508" s="52"/>
      <c r="Y508" s="52"/>
      <c r="Z508" s="51"/>
      <c r="AA508" s="73">
        <v>508</v>
      </c>
      <c r="AB508" s="73"/>
      <c r="AC508" s="74"/>
      <c r="AD508" s="80" t="s">
        <v>1741</v>
      </c>
      <c r="AE508" s="80" t="s">
        <v>2716</v>
      </c>
      <c r="AF508" s="80" t="s">
        <v>3494</v>
      </c>
      <c r="AG508" s="80" t="s">
        <v>3987</v>
      </c>
      <c r="AH508" s="80" t="s">
        <v>5061</v>
      </c>
      <c r="AI508" s="80">
        <v>25527</v>
      </c>
      <c r="AJ508" s="80">
        <v>0</v>
      </c>
      <c r="AK508" s="80">
        <v>0</v>
      </c>
      <c r="AL508" s="80">
        <v>0</v>
      </c>
      <c r="AM508" s="80" t="s">
        <v>5614</v>
      </c>
      <c r="AN508" s="102" t="str">
        <f>HYPERLINK("https://www.youtube.com/watch?v=Flt1EJj_fIY")</f>
        <v>https://www.youtube.com/watch?v=Flt1EJj_fIY</v>
      </c>
      <c r="AO508" s="2"/>
      <c r="AP508" s="3"/>
      <c r="AQ508" s="3"/>
      <c r="AR508" s="3"/>
      <c r="AS508" s="3"/>
    </row>
    <row r="509" spans="1:45" ht="15">
      <c r="A509" s="66" t="s">
        <v>691</v>
      </c>
      <c r="B509" s="67"/>
      <c r="C509" s="67"/>
      <c r="D509" s="68"/>
      <c r="E509" s="70"/>
      <c r="F509" s="100" t="str">
        <f>HYPERLINK("https://i.ytimg.com/vi/s4Lbo97Ivdo/default.jpg")</f>
        <v>https://i.ytimg.com/vi/s4Lbo97Ivdo/default.jpg</v>
      </c>
      <c r="G509" s="67"/>
      <c r="H509" s="71"/>
      <c r="I509" s="72"/>
      <c r="J509" s="72"/>
      <c r="K509" s="71" t="s">
        <v>1742</v>
      </c>
      <c r="L509" s="75"/>
      <c r="M509" s="76">
        <v>4115.8427734375</v>
      </c>
      <c r="N509" s="76">
        <v>2548.397705078125</v>
      </c>
      <c r="O509" s="77"/>
      <c r="P509" s="78"/>
      <c r="Q509" s="78"/>
      <c r="R509" s="82"/>
      <c r="S509" s="82"/>
      <c r="T509" s="82"/>
      <c r="U509" s="82"/>
      <c r="V509" s="52"/>
      <c r="W509" s="52"/>
      <c r="X509" s="52"/>
      <c r="Y509" s="52"/>
      <c r="Z509" s="51"/>
      <c r="AA509" s="73">
        <v>509</v>
      </c>
      <c r="AB509" s="73"/>
      <c r="AC509" s="74"/>
      <c r="AD509" s="80" t="s">
        <v>1742</v>
      </c>
      <c r="AE509" s="80" t="s">
        <v>2717</v>
      </c>
      <c r="AF509" s="80" t="s">
        <v>3495</v>
      </c>
      <c r="AG509" s="80" t="s">
        <v>4201</v>
      </c>
      <c r="AH509" s="80" t="s">
        <v>5062</v>
      </c>
      <c r="AI509" s="80">
        <v>13166</v>
      </c>
      <c r="AJ509" s="80">
        <v>6</v>
      </c>
      <c r="AK509" s="80">
        <v>82</v>
      </c>
      <c r="AL509" s="80">
        <v>12</v>
      </c>
      <c r="AM509" s="80" t="s">
        <v>5614</v>
      </c>
      <c r="AN509" s="102" t="str">
        <f>HYPERLINK("https://www.youtube.com/watch?v=s4Lbo97Ivdo")</f>
        <v>https://www.youtube.com/watch?v=s4Lbo97Ivdo</v>
      </c>
      <c r="AO509" s="2"/>
      <c r="AP509" s="3"/>
      <c r="AQ509" s="3"/>
      <c r="AR509" s="3"/>
      <c r="AS509" s="3"/>
    </row>
    <row r="510" spans="1:45" ht="15">
      <c r="A510" s="66" t="s">
        <v>692</v>
      </c>
      <c r="B510" s="67"/>
      <c r="C510" s="67"/>
      <c r="D510" s="68"/>
      <c r="E510" s="70"/>
      <c r="F510" s="100" t="str">
        <f>HYPERLINK("https://i.ytimg.com/vi/EoWhVFpZPI0/default.jpg")</f>
        <v>https://i.ytimg.com/vi/EoWhVFpZPI0/default.jpg</v>
      </c>
      <c r="G510" s="67"/>
      <c r="H510" s="71"/>
      <c r="I510" s="72"/>
      <c r="J510" s="72"/>
      <c r="K510" s="71" t="s">
        <v>1743</v>
      </c>
      <c r="L510" s="75"/>
      <c r="M510" s="76">
        <v>3821.594482421875</v>
      </c>
      <c r="N510" s="76">
        <v>5779.36376953125</v>
      </c>
      <c r="O510" s="77"/>
      <c r="P510" s="78"/>
      <c r="Q510" s="78"/>
      <c r="R510" s="82"/>
      <c r="S510" s="82"/>
      <c r="T510" s="82"/>
      <c r="U510" s="82"/>
      <c r="V510" s="52"/>
      <c r="W510" s="52"/>
      <c r="X510" s="52"/>
      <c r="Y510" s="52"/>
      <c r="Z510" s="51"/>
      <c r="AA510" s="73">
        <v>510</v>
      </c>
      <c r="AB510" s="73"/>
      <c r="AC510" s="74"/>
      <c r="AD510" s="80" t="s">
        <v>1743</v>
      </c>
      <c r="AE510" s="80" t="s">
        <v>2718</v>
      </c>
      <c r="AF510" s="80" t="s">
        <v>3496</v>
      </c>
      <c r="AG510" s="80" t="s">
        <v>4202</v>
      </c>
      <c r="AH510" s="80" t="s">
        <v>5063</v>
      </c>
      <c r="AI510" s="80">
        <v>804885</v>
      </c>
      <c r="AJ510" s="80">
        <v>90</v>
      </c>
      <c r="AK510" s="80">
        <v>6496</v>
      </c>
      <c r="AL510" s="80">
        <v>474</v>
      </c>
      <c r="AM510" s="80" t="s">
        <v>5614</v>
      </c>
      <c r="AN510" s="102" t="str">
        <f>HYPERLINK("https://www.youtube.com/watch?v=EoWhVFpZPI0")</f>
        <v>https://www.youtube.com/watch?v=EoWhVFpZPI0</v>
      </c>
      <c r="AO510" s="2"/>
      <c r="AP510" s="3"/>
      <c r="AQ510" s="3"/>
      <c r="AR510" s="3"/>
      <c r="AS510" s="3"/>
    </row>
    <row r="511" spans="1:45" ht="15">
      <c r="A511" s="66" t="s">
        <v>693</v>
      </c>
      <c r="B511" s="67"/>
      <c r="C511" s="67"/>
      <c r="D511" s="68"/>
      <c r="E511" s="70"/>
      <c r="F511" s="100" t="str">
        <f>HYPERLINK("https://i.ytimg.com/vi/S63iByakctw/default.jpg")</f>
        <v>https://i.ytimg.com/vi/S63iByakctw/default.jpg</v>
      </c>
      <c r="G511" s="67"/>
      <c r="H511" s="71"/>
      <c r="I511" s="72"/>
      <c r="J511" s="72"/>
      <c r="K511" s="71" t="s">
        <v>1744</v>
      </c>
      <c r="L511" s="75"/>
      <c r="M511" s="76">
        <v>3796.33251953125</v>
      </c>
      <c r="N511" s="76">
        <v>3420.03515625</v>
      </c>
      <c r="O511" s="77"/>
      <c r="P511" s="78"/>
      <c r="Q511" s="78"/>
      <c r="R511" s="82"/>
      <c r="S511" s="82"/>
      <c r="T511" s="82"/>
      <c r="U511" s="82"/>
      <c r="V511" s="52"/>
      <c r="W511" s="52"/>
      <c r="X511" s="52"/>
      <c r="Y511" s="52"/>
      <c r="Z511" s="51"/>
      <c r="AA511" s="73">
        <v>511</v>
      </c>
      <c r="AB511" s="73"/>
      <c r="AC511" s="74"/>
      <c r="AD511" s="80" t="s">
        <v>1744</v>
      </c>
      <c r="AE511" s="80" t="s">
        <v>2719</v>
      </c>
      <c r="AF511" s="80" t="s">
        <v>3497</v>
      </c>
      <c r="AG511" s="80" t="s">
        <v>4053</v>
      </c>
      <c r="AH511" s="80" t="s">
        <v>5064</v>
      </c>
      <c r="AI511" s="80">
        <v>9153</v>
      </c>
      <c r="AJ511" s="80">
        <v>0</v>
      </c>
      <c r="AK511" s="80">
        <v>51</v>
      </c>
      <c r="AL511" s="80">
        <v>1</v>
      </c>
      <c r="AM511" s="80" t="s">
        <v>5614</v>
      </c>
      <c r="AN511" s="102" t="str">
        <f>HYPERLINK("https://www.youtube.com/watch?v=S63iByakctw")</f>
        <v>https://www.youtube.com/watch?v=S63iByakctw</v>
      </c>
      <c r="AO511" s="2"/>
      <c r="AP511" s="3"/>
      <c r="AQ511" s="3"/>
      <c r="AR511" s="3"/>
      <c r="AS511" s="3"/>
    </row>
    <row r="512" spans="1:45" ht="15">
      <c r="A512" s="66" t="s">
        <v>694</v>
      </c>
      <c r="B512" s="67"/>
      <c r="C512" s="67"/>
      <c r="D512" s="68"/>
      <c r="E512" s="70"/>
      <c r="F512" s="100" t="str">
        <f>HYPERLINK("https://i.ytimg.com/vi/OONk4vcyi0E/default.jpg")</f>
        <v>https://i.ytimg.com/vi/OONk4vcyi0E/default.jpg</v>
      </c>
      <c r="G512" s="67"/>
      <c r="H512" s="71"/>
      <c r="I512" s="72"/>
      <c r="J512" s="72"/>
      <c r="K512" s="71" t="s">
        <v>1745</v>
      </c>
      <c r="L512" s="75"/>
      <c r="M512" s="76">
        <v>5534.3017578125</v>
      </c>
      <c r="N512" s="76">
        <v>4202.21435546875</v>
      </c>
      <c r="O512" s="77"/>
      <c r="P512" s="78"/>
      <c r="Q512" s="78"/>
      <c r="R512" s="82"/>
      <c r="S512" s="82"/>
      <c r="T512" s="82"/>
      <c r="U512" s="82"/>
      <c r="V512" s="52"/>
      <c r="W512" s="52"/>
      <c r="X512" s="52"/>
      <c r="Y512" s="52"/>
      <c r="Z512" s="51"/>
      <c r="AA512" s="73">
        <v>512</v>
      </c>
      <c r="AB512" s="73"/>
      <c r="AC512" s="74"/>
      <c r="AD512" s="80" t="s">
        <v>1745</v>
      </c>
      <c r="AE512" s="80" t="s">
        <v>2720</v>
      </c>
      <c r="AF512" s="80" t="s">
        <v>3498</v>
      </c>
      <c r="AG512" s="80" t="s">
        <v>4203</v>
      </c>
      <c r="AH512" s="80" t="s">
        <v>5065</v>
      </c>
      <c r="AI512" s="80">
        <v>5806</v>
      </c>
      <c r="AJ512" s="80">
        <v>1</v>
      </c>
      <c r="AK512" s="80">
        <v>65</v>
      </c>
      <c r="AL512" s="80">
        <v>3</v>
      </c>
      <c r="AM512" s="80" t="s">
        <v>5614</v>
      </c>
      <c r="AN512" s="102" t="str">
        <f>HYPERLINK("https://www.youtube.com/watch?v=OONk4vcyi0E")</f>
        <v>https://www.youtube.com/watch?v=OONk4vcyi0E</v>
      </c>
      <c r="AO512" s="2"/>
      <c r="AP512" s="3"/>
      <c r="AQ512" s="3"/>
      <c r="AR512" s="3"/>
      <c r="AS512" s="3"/>
    </row>
    <row r="513" spans="1:45" ht="15">
      <c r="A513" s="66" t="s">
        <v>695</v>
      </c>
      <c r="B513" s="67"/>
      <c r="C513" s="67"/>
      <c r="D513" s="68"/>
      <c r="E513" s="70"/>
      <c r="F513" s="100" t="str">
        <f>HYPERLINK("https://i.ytimg.com/vi/iFpwzGJPMI8/default.jpg")</f>
        <v>https://i.ytimg.com/vi/iFpwzGJPMI8/default.jpg</v>
      </c>
      <c r="G513" s="67"/>
      <c r="H513" s="71"/>
      <c r="I513" s="72"/>
      <c r="J513" s="72"/>
      <c r="K513" s="71" t="s">
        <v>1746</v>
      </c>
      <c r="L513" s="75"/>
      <c r="M513" s="76">
        <v>4263.64404296875</v>
      </c>
      <c r="N513" s="76">
        <v>3532.79345703125</v>
      </c>
      <c r="O513" s="77"/>
      <c r="P513" s="78"/>
      <c r="Q513" s="78"/>
      <c r="R513" s="82"/>
      <c r="S513" s="82"/>
      <c r="T513" s="82"/>
      <c r="U513" s="82"/>
      <c r="V513" s="52"/>
      <c r="W513" s="52"/>
      <c r="X513" s="52"/>
      <c r="Y513" s="52"/>
      <c r="Z513" s="51"/>
      <c r="AA513" s="73">
        <v>513</v>
      </c>
      <c r="AB513" s="73"/>
      <c r="AC513" s="74"/>
      <c r="AD513" s="80" t="s">
        <v>1746</v>
      </c>
      <c r="AE513" s="80" t="s">
        <v>2721</v>
      </c>
      <c r="AF513" s="80" t="s">
        <v>3499</v>
      </c>
      <c r="AG513" s="80" t="s">
        <v>3987</v>
      </c>
      <c r="AH513" s="80" t="s">
        <v>5066</v>
      </c>
      <c r="AI513" s="80">
        <v>72043</v>
      </c>
      <c r="AJ513" s="80">
        <v>0</v>
      </c>
      <c r="AK513" s="80">
        <v>0</v>
      </c>
      <c r="AL513" s="80">
        <v>0</v>
      </c>
      <c r="AM513" s="80" t="s">
        <v>5614</v>
      </c>
      <c r="AN513" s="102" t="str">
        <f>HYPERLINK("https://www.youtube.com/watch?v=iFpwzGJPMI8")</f>
        <v>https://www.youtube.com/watch?v=iFpwzGJPMI8</v>
      </c>
      <c r="AO513" s="2"/>
      <c r="AP513" s="3"/>
      <c r="AQ513" s="3"/>
      <c r="AR513" s="3"/>
      <c r="AS513" s="3"/>
    </row>
    <row r="514" spans="1:45" ht="15">
      <c r="A514" s="66" t="s">
        <v>696</v>
      </c>
      <c r="B514" s="67"/>
      <c r="C514" s="67"/>
      <c r="D514" s="68"/>
      <c r="E514" s="70"/>
      <c r="F514" s="100" t="str">
        <f>HYPERLINK("https://i.ytimg.com/vi/lTGxtYsyCSU/default.jpg")</f>
        <v>https://i.ytimg.com/vi/lTGxtYsyCSU/default.jpg</v>
      </c>
      <c r="G514" s="67"/>
      <c r="H514" s="71"/>
      <c r="I514" s="72"/>
      <c r="J514" s="72"/>
      <c r="K514" s="71" t="s">
        <v>1300</v>
      </c>
      <c r="L514" s="75"/>
      <c r="M514" s="76">
        <v>6149.5556640625</v>
      </c>
      <c r="N514" s="76">
        <v>3823.2353515625</v>
      </c>
      <c r="O514" s="77"/>
      <c r="P514" s="78"/>
      <c r="Q514" s="78"/>
      <c r="R514" s="82"/>
      <c r="S514" s="82"/>
      <c r="T514" s="82"/>
      <c r="U514" s="82"/>
      <c r="V514" s="52"/>
      <c r="W514" s="52"/>
      <c r="X514" s="52"/>
      <c r="Y514" s="52"/>
      <c r="Z514" s="51"/>
      <c r="AA514" s="73">
        <v>514</v>
      </c>
      <c r="AB514" s="73"/>
      <c r="AC514" s="74"/>
      <c r="AD514" s="80" t="s">
        <v>1300</v>
      </c>
      <c r="AE514" s="80" t="s">
        <v>2722</v>
      </c>
      <c r="AF514" s="80" t="s">
        <v>3500</v>
      </c>
      <c r="AG514" s="80" t="s">
        <v>4204</v>
      </c>
      <c r="AH514" s="80" t="s">
        <v>5067</v>
      </c>
      <c r="AI514" s="80">
        <v>838</v>
      </c>
      <c r="AJ514" s="80">
        <v>0</v>
      </c>
      <c r="AK514" s="80">
        <v>3</v>
      </c>
      <c r="AL514" s="80">
        <v>0</v>
      </c>
      <c r="AM514" s="80" t="s">
        <v>5614</v>
      </c>
      <c r="AN514" s="102" t="str">
        <f>HYPERLINK("https://www.youtube.com/watch?v=lTGxtYsyCSU")</f>
        <v>https://www.youtube.com/watch?v=lTGxtYsyCSU</v>
      </c>
      <c r="AO514" s="2"/>
      <c r="AP514" s="3"/>
      <c r="AQ514" s="3"/>
      <c r="AR514" s="3"/>
      <c r="AS514" s="3"/>
    </row>
    <row r="515" spans="1:45" ht="15">
      <c r="A515" s="66" t="s">
        <v>697</v>
      </c>
      <c r="B515" s="67"/>
      <c r="C515" s="67"/>
      <c r="D515" s="68"/>
      <c r="E515" s="70"/>
      <c r="F515" s="100" t="str">
        <f>HYPERLINK("https://i.ytimg.com/vi/lTkGurMwySE/default.jpg")</f>
        <v>https://i.ytimg.com/vi/lTkGurMwySE/default.jpg</v>
      </c>
      <c r="G515" s="67"/>
      <c r="H515" s="71"/>
      <c r="I515" s="72"/>
      <c r="J515" s="72"/>
      <c r="K515" s="71" t="s">
        <v>1747</v>
      </c>
      <c r="L515" s="75"/>
      <c r="M515" s="76">
        <v>8247.28125</v>
      </c>
      <c r="N515" s="76">
        <v>1714.2298583984375</v>
      </c>
      <c r="O515" s="77"/>
      <c r="P515" s="78"/>
      <c r="Q515" s="78"/>
      <c r="R515" s="82"/>
      <c r="S515" s="82"/>
      <c r="T515" s="82"/>
      <c r="U515" s="82"/>
      <c r="V515" s="52"/>
      <c r="W515" s="52"/>
      <c r="X515" s="52"/>
      <c r="Y515" s="52"/>
      <c r="Z515" s="51"/>
      <c r="AA515" s="73">
        <v>515</v>
      </c>
      <c r="AB515" s="73"/>
      <c r="AC515" s="74"/>
      <c r="AD515" s="80" t="s">
        <v>1747</v>
      </c>
      <c r="AE515" s="80"/>
      <c r="AF515" s="80"/>
      <c r="AG515" s="80" t="s">
        <v>4205</v>
      </c>
      <c r="AH515" s="80" t="s">
        <v>5068</v>
      </c>
      <c r="AI515" s="80">
        <v>4718</v>
      </c>
      <c r="AJ515" s="80">
        <v>5</v>
      </c>
      <c r="AK515" s="80">
        <v>78</v>
      </c>
      <c r="AL515" s="80">
        <v>4</v>
      </c>
      <c r="AM515" s="80" t="s">
        <v>5614</v>
      </c>
      <c r="AN515" s="102" t="str">
        <f>HYPERLINK("https://www.youtube.com/watch?v=lTkGurMwySE")</f>
        <v>https://www.youtube.com/watch?v=lTkGurMwySE</v>
      </c>
      <c r="AO515" s="2"/>
      <c r="AP515" s="3"/>
      <c r="AQ515" s="3"/>
      <c r="AR515" s="3"/>
      <c r="AS515" s="3"/>
    </row>
    <row r="516" spans="1:45" ht="15">
      <c r="A516" s="66" t="s">
        <v>698</v>
      </c>
      <c r="B516" s="67"/>
      <c r="C516" s="67"/>
      <c r="D516" s="68"/>
      <c r="E516" s="70"/>
      <c r="F516" s="100" t="str">
        <f>HYPERLINK("https://i.ytimg.com/vi/4Zn5k_F8ugs/default.jpg")</f>
        <v>https://i.ytimg.com/vi/4Zn5k_F8ugs/default.jpg</v>
      </c>
      <c r="G516" s="67"/>
      <c r="H516" s="71"/>
      <c r="I516" s="72"/>
      <c r="J516" s="72"/>
      <c r="K516" s="71" t="s">
        <v>1748</v>
      </c>
      <c r="L516" s="75"/>
      <c r="M516" s="76">
        <v>3302.2568359375</v>
      </c>
      <c r="N516" s="76">
        <v>6171.06884765625</v>
      </c>
      <c r="O516" s="77"/>
      <c r="P516" s="78"/>
      <c r="Q516" s="78"/>
      <c r="R516" s="82"/>
      <c r="S516" s="82"/>
      <c r="T516" s="82"/>
      <c r="U516" s="82"/>
      <c r="V516" s="52"/>
      <c r="W516" s="52"/>
      <c r="X516" s="52"/>
      <c r="Y516" s="52"/>
      <c r="Z516" s="51"/>
      <c r="AA516" s="73">
        <v>516</v>
      </c>
      <c r="AB516" s="73"/>
      <c r="AC516" s="74"/>
      <c r="AD516" s="80" t="s">
        <v>1748</v>
      </c>
      <c r="AE516" s="80"/>
      <c r="AF516" s="80"/>
      <c r="AG516" s="80" t="s">
        <v>4206</v>
      </c>
      <c r="AH516" s="80" t="s">
        <v>5069</v>
      </c>
      <c r="AI516" s="80">
        <v>38</v>
      </c>
      <c r="AJ516" s="80">
        <v>0</v>
      </c>
      <c r="AK516" s="80">
        <v>0</v>
      </c>
      <c r="AL516" s="80">
        <v>0</v>
      </c>
      <c r="AM516" s="80" t="s">
        <v>5614</v>
      </c>
      <c r="AN516" s="102" t="str">
        <f>HYPERLINK("https://www.youtube.com/watch?v=4Zn5k_F8ugs")</f>
        <v>https://www.youtube.com/watch?v=4Zn5k_F8ugs</v>
      </c>
      <c r="AO516" s="2"/>
      <c r="AP516" s="3"/>
      <c r="AQ516" s="3"/>
      <c r="AR516" s="3"/>
      <c r="AS516" s="3"/>
    </row>
    <row r="517" spans="1:45" ht="15">
      <c r="A517" s="66" t="s">
        <v>699</v>
      </c>
      <c r="B517" s="67"/>
      <c r="C517" s="67"/>
      <c r="D517" s="68"/>
      <c r="E517" s="70"/>
      <c r="F517" s="100" t="str">
        <f>HYPERLINK("https://i.ytimg.com/vi/8TLQPj7sngc/default.jpg")</f>
        <v>https://i.ytimg.com/vi/8TLQPj7sngc/default.jpg</v>
      </c>
      <c r="G517" s="67"/>
      <c r="H517" s="71"/>
      <c r="I517" s="72"/>
      <c r="J517" s="72"/>
      <c r="K517" s="71" t="s">
        <v>1749</v>
      </c>
      <c r="L517" s="75"/>
      <c r="M517" s="76">
        <v>4811.91650390625</v>
      </c>
      <c r="N517" s="76">
        <v>6699.23876953125</v>
      </c>
      <c r="O517" s="77"/>
      <c r="P517" s="78"/>
      <c r="Q517" s="78"/>
      <c r="R517" s="82"/>
      <c r="S517" s="82"/>
      <c r="T517" s="82"/>
      <c r="U517" s="82"/>
      <c r="V517" s="52"/>
      <c r="W517" s="52"/>
      <c r="X517" s="52"/>
      <c r="Y517" s="52"/>
      <c r="Z517" s="51"/>
      <c r="AA517" s="73">
        <v>517</v>
      </c>
      <c r="AB517" s="73"/>
      <c r="AC517" s="74"/>
      <c r="AD517" s="80" t="s">
        <v>1749</v>
      </c>
      <c r="AE517" s="80"/>
      <c r="AF517" s="80"/>
      <c r="AG517" s="80" t="s">
        <v>4207</v>
      </c>
      <c r="AH517" s="80" t="s">
        <v>5070</v>
      </c>
      <c r="AI517" s="80">
        <v>9121</v>
      </c>
      <c r="AJ517" s="80">
        <v>1</v>
      </c>
      <c r="AK517" s="80">
        <v>76</v>
      </c>
      <c r="AL517" s="80">
        <v>9</v>
      </c>
      <c r="AM517" s="80" t="s">
        <v>5614</v>
      </c>
      <c r="AN517" s="102" t="str">
        <f>HYPERLINK("https://www.youtube.com/watch?v=8TLQPj7sngc")</f>
        <v>https://www.youtube.com/watch?v=8TLQPj7sngc</v>
      </c>
      <c r="AO517" s="2"/>
      <c r="AP517" s="3"/>
      <c r="AQ517" s="3"/>
      <c r="AR517" s="3"/>
      <c r="AS517" s="3"/>
    </row>
    <row r="518" spans="1:45" ht="15">
      <c r="A518" s="66" t="s">
        <v>700</v>
      </c>
      <c r="B518" s="67"/>
      <c r="C518" s="67"/>
      <c r="D518" s="68"/>
      <c r="E518" s="70"/>
      <c r="F518" s="100" t="str">
        <f>HYPERLINK("https://i.ytimg.com/vi/Fpg36anqIrw/default.jpg")</f>
        <v>https://i.ytimg.com/vi/Fpg36anqIrw/default.jpg</v>
      </c>
      <c r="G518" s="67"/>
      <c r="H518" s="71"/>
      <c r="I518" s="72"/>
      <c r="J518" s="72"/>
      <c r="K518" s="71" t="s">
        <v>1750</v>
      </c>
      <c r="L518" s="75"/>
      <c r="M518" s="76">
        <v>8425.0966796875</v>
      </c>
      <c r="N518" s="76">
        <v>5423.2939453125</v>
      </c>
      <c r="O518" s="77"/>
      <c r="P518" s="78"/>
      <c r="Q518" s="78"/>
      <c r="R518" s="82"/>
      <c r="S518" s="82"/>
      <c r="T518" s="82"/>
      <c r="U518" s="82"/>
      <c r="V518" s="52"/>
      <c r="W518" s="52"/>
      <c r="X518" s="52"/>
      <c r="Y518" s="52"/>
      <c r="Z518" s="51"/>
      <c r="AA518" s="73">
        <v>518</v>
      </c>
      <c r="AB518" s="73"/>
      <c r="AC518" s="74"/>
      <c r="AD518" s="80" t="s">
        <v>1750</v>
      </c>
      <c r="AE518" s="80" t="s">
        <v>2723</v>
      </c>
      <c r="AF518" s="80"/>
      <c r="AG518" s="80" t="s">
        <v>4094</v>
      </c>
      <c r="AH518" s="80" t="s">
        <v>5071</v>
      </c>
      <c r="AI518" s="80">
        <v>12935</v>
      </c>
      <c r="AJ518" s="80">
        <v>11</v>
      </c>
      <c r="AK518" s="80">
        <v>250</v>
      </c>
      <c r="AL518" s="80">
        <v>12</v>
      </c>
      <c r="AM518" s="80" t="s">
        <v>5614</v>
      </c>
      <c r="AN518" s="102" t="str">
        <f>HYPERLINK("https://www.youtube.com/watch?v=Fpg36anqIrw")</f>
        <v>https://www.youtube.com/watch?v=Fpg36anqIrw</v>
      </c>
      <c r="AO518" s="2"/>
      <c r="AP518" s="3"/>
      <c r="AQ518" s="3"/>
      <c r="AR518" s="3"/>
      <c r="AS518" s="3"/>
    </row>
    <row r="519" spans="1:45" ht="15">
      <c r="A519" s="66" t="s">
        <v>204</v>
      </c>
      <c r="B519" s="67"/>
      <c r="C519" s="67"/>
      <c r="D519" s="68"/>
      <c r="E519" s="70"/>
      <c r="F519" s="100" t="str">
        <f>HYPERLINK("https://i.ytimg.com/vi/Ec0rX1u-xbA/default.jpg")</f>
        <v>https://i.ytimg.com/vi/Ec0rX1u-xbA/default.jpg</v>
      </c>
      <c r="G519" s="67"/>
      <c r="H519" s="71"/>
      <c r="I519" s="72"/>
      <c r="J519" s="72"/>
      <c r="K519" s="71" t="s">
        <v>1751</v>
      </c>
      <c r="L519" s="75"/>
      <c r="M519" s="76">
        <v>1758.8494873046875</v>
      </c>
      <c r="N519" s="76">
        <v>3361.008056640625</v>
      </c>
      <c r="O519" s="77"/>
      <c r="P519" s="78"/>
      <c r="Q519" s="78"/>
      <c r="R519" s="82"/>
      <c r="S519" s="82"/>
      <c r="T519" s="82"/>
      <c r="U519" s="82"/>
      <c r="V519" s="52"/>
      <c r="W519" s="52"/>
      <c r="X519" s="52"/>
      <c r="Y519" s="52"/>
      <c r="Z519" s="51"/>
      <c r="AA519" s="73">
        <v>519</v>
      </c>
      <c r="AB519" s="73"/>
      <c r="AC519" s="74"/>
      <c r="AD519" s="80" t="s">
        <v>1751</v>
      </c>
      <c r="AE519" s="80" t="s">
        <v>2476</v>
      </c>
      <c r="AF519" s="80" t="s">
        <v>3230</v>
      </c>
      <c r="AG519" s="80" t="s">
        <v>4208</v>
      </c>
      <c r="AH519" s="80" t="s">
        <v>5072</v>
      </c>
      <c r="AI519" s="80">
        <v>3</v>
      </c>
      <c r="AJ519" s="80">
        <v>0</v>
      </c>
      <c r="AK519" s="80">
        <v>0</v>
      </c>
      <c r="AL519" s="80">
        <v>0</v>
      </c>
      <c r="AM519" s="80" t="s">
        <v>5614</v>
      </c>
      <c r="AN519" s="102" t="str">
        <f>HYPERLINK("https://www.youtube.com/watch?v=Ec0rX1u-xbA")</f>
        <v>https://www.youtube.com/watch?v=Ec0rX1u-xbA</v>
      </c>
      <c r="AO519" s="2"/>
      <c r="AP519" s="3"/>
      <c r="AQ519" s="3"/>
      <c r="AR519" s="3"/>
      <c r="AS519" s="3"/>
    </row>
    <row r="520" spans="1:45" ht="15">
      <c r="A520" s="66" t="s">
        <v>701</v>
      </c>
      <c r="B520" s="67"/>
      <c r="C520" s="67"/>
      <c r="D520" s="68"/>
      <c r="E520" s="70"/>
      <c r="F520" s="100" t="str">
        <f>HYPERLINK("https://i.ytimg.com/vi/k3GjEr5ZRg8/default.jpg")</f>
        <v>https://i.ytimg.com/vi/k3GjEr5ZRg8/default.jpg</v>
      </c>
      <c r="G520" s="67"/>
      <c r="H520" s="71"/>
      <c r="I520" s="72"/>
      <c r="J520" s="72"/>
      <c r="K520" s="71" t="s">
        <v>1752</v>
      </c>
      <c r="L520" s="75"/>
      <c r="M520" s="76">
        <v>109.30081176757812</v>
      </c>
      <c r="N520" s="76">
        <v>3426.45703125</v>
      </c>
      <c r="O520" s="77"/>
      <c r="P520" s="78"/>
      <c r="Q520" s="78"/>
      <c r="R520" s="82"/>
      <c r="S520" s="82"/>
      <c r="T520" s="82"/>
      <c r="U520" s="82"/>
      <c r="V520" s="52"/>
      <c r="W520" s="52"/>
      <c r="X520" s="52"/>
      <c r="Y520" s="52"/>
      <c r="Z520" s="51"/>
      <c r="AA520" s="73">
        <v>520</v>
      </c>
      <c r="AB520" s="73"/>
      <c r="AC520" s="74"/>
      <c r="AD520" s="80" t="s">
        <v>1752</v>
      </c>
      <c r="AE520" s="80" t="s">
        <v>2614</v>
      </c>
      <c r="AF520" s="80" t="s">
        <v>3230</v>
      </c>
      <c r="AG520" s="80" t="s">
        <v>4209</v>
      </c>
      <c r="AH520" s="80" t="s">
        <v>5073</v>
      </c>
      <c r="AI520" s="80">
        <v>3370</v>
      </c>
      <c r="AJ520" s="80">
        <v>1</v>
      </c>
      <c r="AK520" s="80">
        <v>17</v>
      </c>
      <c r="AL520" s="80">
        <v>10</v>
      </c>
      <c r="AM520" s="80" t="s">
        <v>5614</v>
      </c>
      <c r="AN520" s="102" t="str">
        <f>HYPERLINK("https://www.youtube.com/watch?v=k3GjEr5ZRg8")</f>
        <v>https://www.youtube.com/watch?v=k3GjEr5ZRg8</v>
      </c>
      <c r="AO520" s="2"/>
      <c r="AP520" s="3"/>
      <c r="AQ520" s="3"/>
      <c r="AR520" s="3"/>
      <c r="AS520" s="3"/>
    </row>
    <row r="521" spans="1:45" ht="15">
      <c r="A521" s="66" t="s">
        <v>702</v>
      </c>
      <c r="B521" s="67"/>
      <c r="C521" s="67"/>
      <c r="D521" s="68"/>
      <c r="E521" s="70"/>
      <c r="F521" s="100" t="str">
        <f>HYPERLINK("https://i.ytimg.com/vi/kNCY2VBvobE/default.jpg")</f>
        <v>https://i.ytimg.com/vi/kNCY2VBvobE/default.jpg</v>
      </c>
      <c r="G521" s="67"/>
      <c r="H521" s="71"/>
      <c r="I521" s="72"/>
      <c r="J521" s="72"/>
      <c r="K521" s="71" t="s">
        <v>1753</v>
      </c>
      <c r="L521" s="75"/>
      <c r="M521" s="76">
        <v>210.2548065185547</v>
      </c>
      <c r="N521" s="76">
        <v>2762.325927734375</v>
      </c>
      <c r="O521" s="77"/>
      <c r="P521" s="78"/>
      <c r="Q521" s="78"/>
      <c r="R521" s="82"/>
      <c r="S521" s="82"/>
      <c r="T521" s="82"/>
      <c r="U521" s="82"/>
      <c r="V521" s="52"/>
      <c r="W521" s="52"/>
      <c r="X521" s="52"/>
      <c r="Y521" s="52"/>
      <c r="Z521" s="51"/>
      <c r="AA521" s="73">
        <v>521</v>
      </c>
      <c r="AB521" s="73"/>
      <c r="AC521" s="74"/>
      <c r="AD521" s="80" t="s">
        <v>1753</v>
      </c>
      <c r="AE521" s="80" t="s">
        <v>2724</v>
      </c>
      <c r="AF521" s="80" t="s">
        <v>3501</v>
      </c>
      <c r="AG521" s="80" t="s">
        <v>4210</v>
      </c>
      <c r="AH521" s="80" t="s">
        <v>5074</v>
      </c>
      <c r="AI521" s="80">
        <v>7947653</v>
      </c>
      <c r="AJ521" s="80">
        <v>330</v>
      </c>
      <c r="AK521" s="80">
        <v>29314</v>
      </c>
      <c r="AL521" s="80">
        <v>6328</v>
      </c>
      <c r="AM521" s="80" t="s">
        <v>5614</v>
      </c>
      <c r="AN521" s="102" t="str">
        <f>HYPERLINK("https://www.youtube.com/watch?v=kNCY2VBvobE")</f>
        <v>https://www.youtube.com/watch?v=kNCY2VBvobE</v>
      </c>
      <c r="AO521" s="2"/>
      <c r="AP521" s="3"/>
      <c r="AQ521" s="3"/>
      <c r="AR521" s="3"/>
      <c r="AS521" s="3"/>
    </row>
    <row r="522" spans="1:45" ht="15">
      <c r="A522" s="66" t="s">
        <v>703</v>
      </c>
      <c r="B522" s="67"/>
      <c r="C522" s="67"/>
      <c r="D522" s="68"/>
      <c r="E522" s="70"/>
      <c r="F522" s="100" t="str">
        <f>HYPERLINK("https://i.ytimg.com/vi/SwbQoekhRUM/default.jpg")</f>
        <v>https://i.ytimg.com/vi/SwbQoekhRUM/default.jpg</v>
      </c>
      <c r="G522" s="67"/>
      <c r="H522" s="71"/>
      <c r="I522" s="72"/>
      <c r="J522" s="72"/>
      <c r="K522" s="71" t="s">
        <v>1754</v>
      </c>
      <c r="L522" s="75"/>
      <c r="M522" s="76">
        <v>109.30081176757812</v>
      </c>
      <c r="N522" s="76">
        <v>4304.4658203125</v>
      </c>
      <c r="O522" s="77"/>
      <c r="P522" s="78"/>
      <c r="Q522" s="78"/>
      <c r="R522" s="82"/>
      <c r="S522" s="82"/>
      <c r="T522" s="82"/>
      <c r="U522" s="82"/>
      <c r="V522" s="52"/>
      <c r="W522" s="52"/>
      <c r="X522" s="52"/>
      <c r="Y522" s="52"/>
      <c r="Z522" s="51"/>
      <c r="AA522" s="73">
        <v>522</v>
      </c>
      <c r="AB522" s="73"/>
      <c r="AC522" s="74"/>
      <c r="AD522" s="80" t="s">
        <v>1754</v>
      </c>
      <c r="AE522" s="80" t="s">
        <v>2724</v>
      </c>
      <c r="AF522" s="80" t="s">
        <v>3501</v>
      </c>
      <c r="AG522" s="80" t="s">
        <v>4210</v>
      </c>
      <c r="AH522" s="80" t="s">
        <v>5075</v>
      </c>
      <c r="AI522" s="80">
        <v>41577506</v>
      </c>
      <c r="AJ522" s="80">
        <v>92</v>
      </c>
      <c r="AK522" s="80">
        <v>188885</v>
      </c>
      <c r="AL522" s="80">
        <v>47813</v>
      </c>
      <c r="AM522" s="80" t="s">
        <v>5614</v>
      </c>
      <c r="AN522" s="102" t="str">
        <f>HYPERLINK("https://www.youtube.com/watch?v=SwbQoekhRUM")</f>
        <v>https://www.youtube.com/watch?v=SwbQoekhRUM</v>
      </c>
      <c r="AO522" s="2"/>
      <c r="AP522" s="3"/>
      <c r="AQ522" s="3"/>
      <c r="AR522" s="3"/>
      <c r="AS522" s="3"/>
    </row>
    <row r="523" spans="1:45" ht="15">
      <c r="A523" s="66" t="s">
        <v>704</v>
      </c>
      <c r="B523" s="67"/>
      <c r="C523" s="67"/>
      <c r="D523" s="68"/>
      <c r="E523" s="70"/>
      <c r="F523" s="100" t="str">
        <f>HYPERLINK("https://i.ytimg.com/vi/8Shndkrgc88/default.jpg")</f>
        <v>https://i.ytimg.com/vi/8Shndkrgc88/default.jpg</v>
      </c>
      <c r="G523" s="67"/>
      <c r="H523" s="71"/>
      <c r="I523" s="72"/>
      <c r="J523" s="72"/>
      <c r="K523" s="71" t="s">
        <v>1755</v>
      </c>
      <c r="L523" s="75"/>
      <c r="M523" s="76">
        <v>109.30081176757812</v>
      </c>
      <c r="N523" s="76">
        <v>3659.554931640625</v>
      </c>
      <c r="O523" s="77"/>
      <c r="P523" s="78"/>
      <c r="Q523" s="78"/>
      <c r="R523" s="82"/>
      <c r="S523" s="82"/>
      <c r="T523" s="82"/>
      <c r="U523" s="82"/>
      <c r="V523" s="52"/>
      <c r="W523" s="52"/>
      <c r="X523" s="52"/>
      <c r="Y523" s="52"/>
      <c r="Z523" s="51"/>
      <c r="AA523" s="73">
        <v>523</v>
      </c>
      <c r="AB523" s="73"/>
      <c r="AC523" s="74"/>
      <c r="AD523" s="80" t="s">
        <v>1755</v>
      </c>
      <c r="AE523" s="80" t="s">
        <v>2724</v>
      </c>
      <c r="AF523" s="80" t="s">
        <v>3501</v>
      </c>
      <c r="AG523" s="80" t="s">
        <v>4210</v>
      </c>
      <c r="AH523" s="80" t="s">
        <v>5076</v>
      </c>
      <c r="AI523" s="80">
        <v>32698194</v>
      </c>
      <c r="AJ523" s="80">
        <v>466</v>
      </c>
      <c r="AK523" s="80">
        <v>149062</v>
      </c>
      <c r="AL523" s="80">
        <v>30579</v>
      </c>
      <c r="AM523" s="80" t="s">
        <v>5614</v>
      </c>
      <c r="AN523" s="102" t="str">
        <f>HYPERLINK("https://www.youtube.com/watch?v=8Shndkrgc88")</f>
        <v>https://www.youtube.com/watch?v=8Shndkrgc88</v>
      </c>
      <c r="AO523" s="2"/>
      <c r="AP523" s="3"/>
      <c r="AQ523" s="3"/>
      <c r="AR523" s="3"/>
      <c r="AS523" s="3"/>
    </row>
    <row r="524" spans="1:45" ht="15">
      <c r="A524" s="66" t="s">
        <v>705</v>
      </c>
      <c r="B524" s="67"/>
      <c r="C524" s="67"/>
      <c r="D524" s="68"/>
      <c r="E524" s="70"/>
      <c r="F524" s="100" t="str">
        <f>HYPERLINK("https://i.ytimg.com/vi/tZdCk870zZ4/default.jpg")</f>
        <v>https://i.ytimg.com/vi/tZdCk870zZ4/default.jpg</v>
      </c>
      <c r="G524" s="67"/>
      <c r="H524" s="71"/>
      <c r="I524" s="72"/>
      <c r="J524" s="72"/>
      <c r="K524" s="71" t="s">
        <v>1756</v>
      </c>
      <c r="L524" s="75"/>
      <c r="M524" s="76">
        <v>109.30081176757812</v>
      </c>
      <c r="N524" s="76">
        <v>4230.79736328125</v>
      </c>
      <c r="O524" s="77"/>
      <c r="P524" s="78"/>
      <c r="Q524" s="78"/>
      <c r="R524" s="82"/>
      <c r="S524" s="82"/>
      <c r="T524" s="82"/>
      <c r="U524" s="82"/>
      <c r="V524" s="52"/>
      <c r="W524" s="52"/>
      <c r="X524" s="52"/>
      <c r="Y524" s="52"/>
      <c r="Z524" s="51"/>
      <c r="AA524" s="73">
        <v>524</v>
      </c>
      <c r="AB524" s="73"/>
      <c r="AC524" s="74"/>
      <c r="AD524" s="80" t="s">
        <v>1756</v>
      </c>
      <c r="AE524" s="80" t="s">
        <v>2725</v>
      </c>
      <c r="AF524" s="80" t="s">
        <v>3230</v>
      </c>
      <c r="AG524" s="80" t="s">
        <v>4211</v>
      </c>
      <c r="AH524" s="80" t="s">
        <v>5077</v>
      </c>
      <c r="AI524" s="80">
        <v>2046</v>
      </c>
      <c r="AJ524" s="80">
        <v>1</v>
      </c>
      <c r="AK524" s="80">
        <v>18</v>
      </c>
      <c r="AL524" s="80">
        <v>4</v>
      </c>
      <c r="AM524" s="80" t="s">
        <v>5614</v>
      </c>
      <c r="AN524" s="102" t="str">
        <f>HYPERLINK("https://www.youtube.com/watch?v=tZdCk870zZ4")</f>
        <v>https://www.youtube.com/watch?v=tZdCk870zZ4</v>
      </c>
      <c r="AO524" s="2"/>
      <c r="AP524" s="3"/>
      <c r="AQ524" s="3"/>
      <c r="AR524" s="3"/>
      <c r="AS524" s="3"/>
    </row>
    <row r="525" spans="1:45" ht="15">
      <c r="A525" s="66" t="s">
        <v>706</v>
      </c>
      <c r="B525" s="67"/>
      <c r="C525" s="67"/>
      <c r="D525" s="68"/>
      <c r="E525" s="70"/>
      <c r="F525" s="100" t="str">
        <f>HYPERLINK("https://i.ytimg.com/vi/nwIEnb_0lBM/default.jpg")</f>
        <v>https://i.ytimg.com/vi/nwIEnb_0lBM/default.jpg</v>
      </c>
      <c r="G525" s="67"/>
      <c r="H525" s="71"/>
      <c r="I525" s="72"/>
      <c r="J525" s="72"/>
      <c r="K525" s="71" t="s">
        <v>1757</v>
      </c>
      <c r="L525" s="75"/>
      <c r="M525" s="76">
        <v>145.8061981201172</v>
      </c>
      <c r="N525" s="76">
        <v>3158.04345703125</v>
      </c>
      <c r="O525" s="77"/>
      <c r="P525" s="78"/>
      <c r="Q525" s="78"/>
      <c r="R525" s="82"/>
      <c r="S525" s="82"/>
      <c r="T525" s="82"/>
      <c r="U525" s="82"/>
      <c r="V525" s="52"/>
      <c r="W525" s="52"/>
      <c r="X525" s="52"/>
      <c r="Y525" s="52"/>
      <c r="Z525" s="51"/>
      <c r="AA525" s="73">
        <v>525</v>
      </c>
      <c r="AB525" s="73"/>
      <c r="AC525" s="74"/>
      <c r="AD525" s="80" t="s">
        <v>1757</v>
      </c>
      <c r="AE525" s="80" t="s">
        <v>2726</v>
      </c>
      <c r="AF525" s="80" t="s">
        <v>3502</v>
      </c>
      <c r="AG525" s="80" t="s">
        <v>4212</v>
      </c>
      <c r="AH525" s="80" t="s">
        <v>5078</v>
      </c>
      <c r="AI525" s="80">
        <v>87384590</v>
      </c>
      <c r="AJ525" s="80">
        <v>5925</v>
      </c>
      <c r="AK525" s="80">
        <v>283388</v>
      </c>
      <c r="AL525" s="80">
        <v>102720</v>
      </c>
      <c r="AM525" s="80" t="s">
        <v>5614</v>
      </c>
      <c r="AN525" s="102" t="str">
        <f>HYPERLINK("https://www.youtube.com/watch?v=nwIEnb_0lBM")</f>
        <v>https://www.youtube.com/watch?v=nwIEnb_0lBM</v>
      </c>
      <c r="AO525" s="2"/>
      <c r="AP525" s="3"/>
      <c r="AQ525" s="3"/>
      <c r="AR525" s="3"/>
      <c r="AS525" s="3"/>
    </row>
    <row r="526" spans="1:45" ht="15">
      <c r="A526" s="66" t="s">
        <v>707</v>
      </c>
      <c r="B526" s="67"/>
      <c r="C526" s="67"/>
      <c r="D526" s="68"/>
      <c r="E526" s="70"/>
      <c r="F526" s="100" t="str">
        <f>HYPERLINK("https://i.ytimg.com/vi/OYjfNAalCY4/default.jpg")</f>
        <v>https://i.ytimg.com/vi/OYjfNAalCY4/default.jpg</v>
      </c>
      <c r="G526" s="67"/>
      <c r="H526" s="71"/>
      <c r="I526" s="72"/>
      <c r="J526" s="72"/>
      <c r="K526" s="71" t="s">
        <v>1758</v>
      </c>
      <c r="L526" s="75"/>
      <c r="M526" s="76">
        <v>109.30081176757812</v>
      </c>
      <c r="N526" s="76">
        <v>3558.437744140625</v>
      </c>
      <c r="O526" s="77"/>
      <c r="P526" s="78"/>
      <c r="Q526" s="78"/>
      <c r="R526" s="82"/>
      <c r="S526" s="82"/>
      <c r="T526" s="82"/>
      <c r="U526" s="82"/>
      <c r="V526" s="52"/>
      <c r="W526" s="52"/>
      <c r="X526" s="52"/>
      <c r="Y526" s="52"/>
      <c r="Z526" s="51"/>
      <c r="AA526" s="73">
        <v>526</v>
      </c>
      <c r="AB526" s="73"/>
      <c r="AC526" s="74"/>
      <c r="AD526" s="80" t="s">
        <v>1758</v>
      </c>
      <c r="AE526" s="80" t="s">
        <v>2727</v>
      </c>
      <c r="AF526" s="80" t="s">
        <v>3230</v>
      </c>
      <c r="AG526" s="80" t="s">
        <v>4213</v>
      </c>
      <c r="AH526" s="80" t="s">
        <v>5079</v>
      </c>
      <c r="AI526" s="80">
        <v>24708</v>
      </c>
      <c r="AJ526" s="80">
        <v>36</v>
      </c>
      <c r="AK526" s="80">
        <v>78</v>
      </c>
      <c r="AL526" s="80">
        <v>12</v>
      </c>
      <c r="AM526" s="80" t="s">
        <v>5614</v>
      </c>
      <c r="AN526" s="102" t="str">
        <f>HYPERLINK("https://www.youtube.com/watch?v=OYjfNAalCY4")</f>
        <v>https://www.youtube.com/watch?v=OYjfNAalCY4</v>
      </c>
      <c r="AO526" s="2"/>
      <c r="AP526" s="3"/>
      <c r="AQ526" s="3"/>
      <c r="AR526" s="3"/>
      <c r="AS526" s="3"/>
    </row>
    <row r="527" spans="1:45" ht="15">
      <c r="A527" s="66" t="s">
        <v>708</v>
      </c>
      <c r="B527" s="67"/>
      <c r="C527" s="67"/>
      <c r="D527" s="68"/>
      <c r="E527" s="70"/>
      <c r="F527" s="100" t="str">
        <f>HYPERLINK("https://i.ytimg.com/vi/n5giv8cYxVI/default.jpg")</f>
        <v>https://i.ytimg.com/vi/n5giv8cYxVI/default.jpg</v>
      </c>
      <c r="G527" s="67"/>
      <c r="H527" s="71"/>
      <c r="I527" s="72"/>
      <c r="J527" s="72"/>
      <c r="K527" s="71" t="s">
        <v>1759</v>
      </c>
      <c r="L527" s="75"/>
      <c r="M527" s="76">
        <v>109.30081176757812</v>
      </c>
      <c r="N527" s="76">
        <v>4048.572998046875</v>
      </c>
      <c r="O527" s="77"/>
      <c r="P527" s="78"/>
      <c r="Q527" s="78"/>
      <c r="R527" s="82"/>
      <c r="S527" s="82"/>
      <c r="T527" s="82"/>
      <c r="U527" s="82"/>
      <c r="V527" s="52"/>
      <c r="W527" s="52"/>
      <c r="X527" s="52"/>
      <c r="Y527" s="52"/>
      <c r="Z527" s="51"/>
      <c r="AA527" s="73">
        <v>527</v>
      </c>
      <c r="AB527" s="73"/>
      <c r="AC527" s="74"/>
      <c r="AD527" s="80" t="s">
        <v>1759</v>
      </c>
      <c r="AE527" s="80" t="s">
        <v>2614</v>
      </c>
      <c r="AF527" s="80" t="s">
        <v>3230</v>
      </c>
      <c r="AG527" s="80" t="s">
        <v>4214</v>
      </c>
      <c r="AH527" s="80" t="s">
        <v>5080</v>
      </c>
      <c r="AI527" s="80">
        <v>14846</v>
      </c>
      <c r="AJ527" s="80">
        <v>15</v>
      </c>
      <c r="AK527" s="80">
        <v>170</v>
      </c>
      <c r="AL527" s="80">
        <v>15</v>
      </c>
      <c r="AM527" s="80" t="s">
        <v>5614</v>
      </c>
      <c r="AN527" s="102" t="str">
        <f>HYPERLINK("https://www.youtube.com/watch?v=n5giv8cYxVI")</f>
        <v>https://www.youtube.com/watch?v=n5giv8cYxVI</v>
      </c>
      <c r="AO527" s="2"/>
      <c r="AP527" s="3"/>
      <c r="AQ527" s="3"/>
      <c r="AR527" s="3"/>
      <c r="AS527" s="3"/>
    </row>
    <row r="528" spans="1:45" ht="15">
      <c r="A528" s="66" t="s">
        <v>709</v>
      </c>
      <c r="B528" s="67"/>
      <c r="C528" s="67"/>
      <c r="D528" s="68"/>
      <c r="E528" s="70"/>
      <c r="F528" s="100" t="str">
        <f>HYPERLINK("https://i.ytimg.com/vi/Et1v8EQP10U/default.jpg")</f>
        <v>https://i.ytimg.com/vi/Et1v8EQP10U/default.jpg</v>
      </c>
      <c r="G528" s="67"/>
      <c r="H528" s="71"/>
      <c r="I528" s="72"/>
      <c r="J528" s="72"/>
      <c r="K528" s="71" t="s">
        <v>1760</v>
      </c>
      <c r="L528" s="75"/>
      <c r="M528" s="76">
        <v>109.30081176757812</v>
      </c>
      <c r="N528" s="76">
        <v>3657.084716796875</v>
      </c>
      <c r="O528" s="77"/>
      <c r="P528" s="78"/>
      <c r="Q528" s="78"/>
      <c r="R528" s="82"/>
      <c r="S528" s="82"/>
      <c r="T528" s="82"/>
      <c r="U528" s="82"/>
      <c r="V528" s="52"/>
      <c r="W528" s="52"/>
      <c r="X528" s="52"/>
      <c r="Y528" s="52"/>
      <c r="Z528" s="51"/>
      <c r="AA528" s="73">
        <v>528</v>
      </c>
      <c r="AB528" s="73"/>
      <c r="AC528" s="74"/>
      <c r="AD528" s="80" t="s">
        <v>1760</v>
      </c>
      <c r="AE528" s="80" t="s">
        <v>2728</v>
      </c>
      <c r="AF528" s="80" t="s">
        <v>3503</v>
      </c>
      <c r="AG528" s="80" t="s">
        <v>4215</v>
      </c>
      <c r="AH528" s="80" t="s">
        <v>5081</v>
      </c>
      <c r="AI528" s="80">
        <v>1051048</v>
      </c>
      <c r="AJ528" s="80">
        <v>9</v>
      </c>
      <c r="AK528" s="80">
        <v>5789</v>
      </c>
      <c r="AL528" s="80">
        <v>286</v>
      </c>
      <c r="AM528" s="80" t="s">
        <v>5614</v>
      </c>
      <c r="AN528" s="102" t="str">
        <f>HYPERLINK("https://www.youtube.com/watch?v=Et1v8EQP10U")</f>
        <v>https://www.youtube.com/watch?v=Et1v8EQP10U</v>
      </c>
      <c r="AO528" s="2"/>
      <c r="AP528" s="3"/>
      <c r="AQ528" s="3"/>
      <c r="AR528" s="3"/>
      <c r="AS528" s="3"/>
    </row>
    <row r="529" spans="1:45" ht="15">
      <c r="A529" s="66" t="s">
        <v>710</v>
      </c>
      <c r="B529" s="67"/>
      <c r="C529" s="67"/>
      <c r="D529" s="68"/>
      <c r="E529" s="70"/>
      <c r="F529" s="100" t="str">
        <f>HYPERLINK("https://i.ytimg.com/vi/A6k82xAK5ns/default.jpg")</f>
        <v>https://i.ytimg.com/vi/A6k82xAK5ns/default.jpg</v>
      </c>
      <c r="G529" s="67"/>
      <c r="H529" s="71"/>
      <c r="I529" s="72"/>
      <c r="J529" s="72"/>
      <c r="K529" s="71" t="s">
        <v>1761</v>
      </c>
      <c r="L529" s="75"/>
      <c r="M529" s="76">
        <v>231.30905151367188</v>
      </c>
      <c r="N529" s="76">
        <v>2760.3779296875</v>
      </c>
      <c r="O529" s="77"/>
      <c r="P529" s="78"/>
      <c r="Q529" s="78"/>
      <c r="R529" s="82"/>
      <c r="S529" s="82"/>
      <c r="T529" s="82"/>
      <c r="U529" s="82"/>
      <c r="V529" s="52"/>
      <c r="W529" s="52"/>
      <c r="X529" s="52"/>
      <c r="Y529" s="52"/>
      <c r="Z529" s="51"/>
      <c r="AA529" s="73">
        <v>529</v>
      </c>
      <c r="AB529" s="73"/>
      <c r="AC529" s="74"/>
      <c r="AD529" s="80" t="s">
        <v>1761</v>
      </c>
      <c r="AE529" s="80" t="s">
        <v>2614</v>
      </c>
      <c r="AF529" s="80" t="s">
        <v>3230</v>
      </c>
      <c r="AG529" s="80" t="s">
        <v>4216</v>
      </c>
      <c r="AH529" s="80" t="s">
        <v>5082</v>
      </c>
      <c r="AI529" s="80">
        <v>20618</v>
      </c>
      <c r="AJ529" s="80">
        <v>7</v>
      </c>
      <c r="AK529" s="80">
        <v>133</v>
      </c>
      <c r="AL529" s="80">
        <v>12</v>
      </c>
      <c r="AM529" s="80" t="s">
        <v>5614</v>
      </c>
      <c r="AN529" s="102" t="str">
        <f>HYPERLINK("https://www.youtube.com/watch?v=A6k82xAK5ns")</f>
        <v>https://www.youtube.com/watch?v=A6k82xAK5ns</v>
      </c>
      <c r="AO529" s="2"/>
      <c r="AP529" s="3"/>
      <c r="AQ529" s="3"/>
      <c r="AR529" s="3"/>
      <c r="AS529" s="3"/>
    </row>
    <row r="530" spans="1:45" ht="15">
      <c r="A530" s="66" t="s">
        <v>711</v>
      </c>
      <c r="B530" s="67"/>
      <c r="C530" s="67"/>
      <c r="D530" s="68"/>
      <c r="E530" s="70"/>
      <c r="F530" s="100" t="str">
        <f>HYPERLINK("https://i.ytimg.com/vi/8aHgmT8rsWA/default.jpg")</f>
        <v>https://i.ytimg.com/vi/8aHgmT8rsWA/default.jpg</v>
      </c>
      <c r="G530" s="67"/>
      <c r="H530" s="71"/>
      <c r="I530" s="72"/>
      <c r="J530" s="72"/>
      <c r="K530" s="71" t="s">
        <v>1762</v>
      </c>
      <c r="L530" s="75"/>
      <c r="M530" s="76">
        <v>109.30081176757812</v>
      </c>
      <c r="N530" s="76">
        <v>3970.0302734375</v>
      </c>
      <c r="O530" s="77"/>
      <c r="P530" s="78"/>
      <c r="Q530" s="78"/>
      <c r="R530" s="82"/>
      <c r="S530" s="82"/>
      <c r="T530" s="82"/>
      <c r="U530" s="82"/>
      <c r="V530" s="52"/>
      <c r="W530" s="52"/>
      <c r="X530" s="52"/>
      <c r="Y530" s="52"/>
      <c r="Z530" s="51"/>
      <c r="AA530" s="73">
        <v>530</v>
      </c>
      <c r="AB530" s="73"/>
      <c r="AC530" s="74"/>
      <c r="AD530" s="80" t="s">
        <v>1762</v>
      </c>
      <c r="AE530" s="80" t="s">
        <v>2729</v>
      </c>
      <c r="AF530" s="80" t="s">
        <v>3230</v>
      </c>
      <c r="AG530" s="80" t="s">
        <v>4217</v>
      </c>
      <c r="AH530" s="80" t="s">
        <v>5083</v>
      </c>
      <c r="AI530" s="80">
        <v>3430</v>
      </c>
      <c r="AJ530" s="80">
        <v>1</v>
      </c>
      <c r="AK530" s="80">
        <v>14</v>
      </c>
      <c r="AL530" s="80">
        <v>0</v>
      </c>
      <c r="AM530" s="80" t="s">
        <v>5614</v>
      </c>
      <c r="AN530" s="102" t="str">
        <f>HYPERLINK("https://www.youtube.com/watch?v=8aHgmT8rsWA")</f>
        <v>https://www.youtube.com/watch?v=8aHgmT8rsWA</v>
      </c>
      <c r="AO530" s="2"/>
      <c r="AP530" s="3"/>
      <c r="AQ530" s="3"/>
      <c r="AR530" s="3"/>
      <c r="AS530" s="3"/>
    </row>
    <row r="531" spans="1:45" ht="15">
      <c r="A531" s="66" t="s">
        <v>712</v>
      </c>
      <c r="B531" s="67"/>
      <c r="C531" s="67"/>
      <c r="D531" s="68"/>
      <c r="E531" s="70"/>
      <c r="F531" s="100" t="str">
        <f>HYPERLINK("https://i.ytimg.com/vi/oKKkFrvndWQ/default.jpg")</f>
        <v>https://i.ytimg.com/vi/oKKkFrvndWQ/default.jpg</v>
      </c>
      <c r="G531" s="67"/>
      <c r="H531" s="71"/>
      <c r="I531" s="72"/>
      <c r="J531" s="72"/>
      <c r="K531" s="71" t="s">
        <v>1763</v>
      </c>
      <c r="L531" s="75"/>
      <c r="M531" s="76">
        <v>129.8124542236328</v>
      </c>
      <c r="N531" s="76">
        <v>3142.1025390625</v>
      </c>
      <c r="O531" s="77"/>
      <c r="P531" s="78"/>
      <c r="Q531" s="78"/>
      <c r="R531" s="82"/>
      <c r="S531" s="82"/>
      <c r="T531" s="82"/>
      <c r="U531" s="82"/>
      <c r="V531" s="52"/>
      <c r="W531" s="52"/>
      <c r="X531" s="52"/>
      <c r="Y531" s="52"/>
      <c r="Z531" s="51"/>
      <c r="AA531" s="73">
        <v>531</v>
      </c>
      <c r="AB531" s="73"/>
      <c r="AC531" s="74"/>
      <c r="AD531" s="80" t="s">
        <v>1763</v>
      </c>
      <c r="AE531" s="80" t="s">
        <v>2730</v>
      </c>
      <c r="AF531" s="80" t="s">
        <v>3455</v>
      </c>
      <c r="AG531" s="80" t="s">
        <v>4218</v>
      </c>
      <c r="AH531" s="80" t="s">
        <v>5084</v>
      </c>
      <c r="AI531" s="80">
        <v>12449</v>
      </c>
      <c r="AJ531" s="80">
        <v>1</v>
      </c>
      <c r="AK531" s="80">
        <v>39</v>
      </c>
      <c r="AL531" s="80">
        <v>0</v>
      </c>
      <c r="AM531" s="80" t="s">
        <v>5614</v>
      </c>
      <c r="AN531" s="102" t="str">
        <f>HYPERLINK("https://www.youtube.com/watch?v=oKKkFrvndWQ")</f>
        <v>https://www.youtube.com/watch?v=oKKkFrvndWQ</v>
      </c>
      <c r="AO531" s="2"/>
      <c r="AP531" s="3"/>
      <c r="AQ531" s="3"/>
      <c r="AR531" s="3"/>
      <c r="AS531" s="3"/>
    </row>
    <row r="532" spans="1:45" ht="15">
      <c r="A532" s="66" t="s">
        <v>713</v>
      </c>
      <c r="B532" s="67"/>
      <c r="C532" s="67"/>
      <c r="D532" s="68"/>
      <c r="E532" s="70"/>
      <c r="F532" s="100" t="str">
        <f>HYPERLINK("https://i.ytimg.com/vi/RKK7wGAYP6k/default.jpg")</f>
        <v>https://i.ytimg.com/vi/RKK7wGAYP6k/default.jpg</v>
      </c>
      <c r="G532" s="67"/>
      <c r="H532" s="71"/>
      <c r="I532" s="72"/>
      <c r="J532" s="72"/>
      <c r="K532" s="71" t="s">
        <v>1764</v>
      </c>
      <c r="L532" s="75"/>
      <c r="M532" s="76">
        <v>148.8006134033203</v>
      </c>
      <c r="N532" s="76">
        <v>3056.9208984375</v>
      </c>
      <c r="O532" s="77"/>
      <c r="P532" s="78"/>
      <c r="Q532" s="78"/>
      <c r="R532" s="82"/>
      <c r="S532" s="82"/>
      <c r="T532" s="82"/>
      <c r="U532" s="82"/>
      <c r="V532" s="52"/>
      <c r="W532" s="52"/>
      <c r="X532" s="52"/>
      <c r="Y532" s="52"/>
      <c r="Z532" s="51"/>
      <c r="AA532" s="73">
        <v>532</v>
      </c>
      <c r="AB532" s="73"/>
      <c r="AC532" s="74"/>
      <c r="AD532" s="80" t="s">
        <v>1764</v>
      </c>
      <c r="AE532" s="80" t="s">
        <v>2731</v>
      </c>
      <c r="AF532" s="80" t="s">
        <v>3504</v>
      </c>
      <c r="AG532" s="80" t="s">
        <v>4219</v>
      </c>
      <c r="AH532" s="80" t="s">
        <v>5085</v>
      </c>
      <c r="AI532" s="80">
        <v>7519923</v>
      </c>
      <c r="AJ532" s="80">
        <v>5001</v>
      </c>
      <c r="AK532" s="80">
        <v>167851</v>
      </c>
      <c r="AL532" s="80">
        <v>2917</v>
      </c>
      <c r="AM532" s="80" t="s">
        <v>5614</v>
      </c>
      <c r="AN532" s="102" t="str">
        <f>HYPERLINK("https://www.youtube.com/watch?v=RKK7wGAYP6k")</f>
        <v>https://www.youtube.com/watch?v=RKK7wGAYP6k</v>
      </c>
      <c r="AO532" s="2"/>
      <c r="AP532" s="3"/>
      <c r="AQ532" s="3"/>
      <c r="AR532" s="3"/>
      <c r="AS532" s="3"/>
    </row>
    <row r="533" spans="1:45" ht="15">
      <c r="A533" s="66" t="s">
        <v>714</v>
      </c>
      <c r="B533" s="67"/>
      <c r="C533" s="67"/>
      <c r="D533" s="68"/>
      <c r="E533" s="70"/>
      <c r="F533" s="100" t="str">
        <f>HYPERLINK("https://i.ytimg.com/vi/fef2tFoNjSk/default.jpg")</f>
        <v>https://i.ytimg.com/vi/fef2tFoNjSk/default.jpg</v>
      </c>
      <c r="G533" s="67"/>
      <c r="H533" s="71"/>
      <c r="I533" s="72"/>
      <c r="J533" s="72"/>
      <c r="K533" s="71" t="s">
        <v>1765</v>
      </c>
      <c r="L533" s="75"/>
      <c r="M533" s="76">
        <v>1459.165771484375</v>
      </c>
      <c r="N533" s="76">
        <v>1809.4385986328125</v>
      </c>
      <c r="O533" s="77"/>
      <c r="P533" s="78"/>
      <c r="Q533" s="78"/>
      <c r="R533" s="82"/>
      <c r="S533" s="82"/>
      <c r="T533" s="82"/>
      <c r="U533" s="82"/>
      <c r="V533" s="52"/>
      <c r="W533" s="52"/>
      <c r="X533" s="52"/>
      <c r="Y533" s="52"/>
      <c r="Z533" s="51"/>
      <c r="AA533" s="73">
        <v>533</v>
      </c>
      <c r="AB533" s="73"/>
      <c r="AC533" s="74"/>
      <c r="AD533" s="80" t="s">
        <v>1765</v>
      </c>
      <c r="AE533" s="80" t="s">
        <v>2732</v>
      </c>
      <c r="AF533" s="80" t="s">
        <v>3230</v>
      </c>
      <c r="AG533" s="80" t="s">
        <v>4220</v>
      </c>
      <c r="AH533" s="80" t="s">
        <v>5086</v>
      </c>
      <c r="AI533" s="80">
        <v>3627</v>
      </c>
      <c r="AJ533" s="80">
        <v>1</v>
      </c>
      <c r="AK533" s="80">
        <v>12</v>
      </c>
      <c r="AL533" s="80">
        <v>4</v>
      </c>
      <c r="AM533" s="80" t="s">
        <v>5614</v>
      </c>
      <c r="AN533" s="102" t="str">
        <f>HYPERLINK("https://www.youtube.com/watch?v=fef2tFoNjSk")</f>
        <v>https://www.youtube.com/watch?v=fef2tFoNjSk</v>
      </c>
      <c r="AO533" s="2"/>
      <c r="AP533" s="3"/>
      <c r="AQ533" s="3"/>
      <c r="AR533" s="3"/>
      <c r="AS533" s="3"/>
    </row>
    <row r="534" spans="1:45" ht="15">
      <c r="A534" s="66" t="s">
        <v>715</v>
      </c>
      <c r="B534" s="67"/>
      <c r="C534" s="67"/>
      <c r="D534" s="68"/>
      <c r="E534" s="70"/>
      <c r="F534" s="100" t="str">
        <f>HYPERLINK("https://i.ytimg.com/vi/6wDamw_tzDE/default.jpg")</f>
        <v>https://i.ytimg.com/vi/6wDamw_tzDE/default.jpg</v>
      </c>
      <c r="G534" s="67"/>
      <c r="H534" s="71"/>
      <c r="I534" s="72"/>
      <c r="J534" s="72"/>
      <c r="K534" s="71" t="s">
        <v>1766</v>
      </c>
      <c r="L534" s="75"/>
      <c r="M534" s="76">
        <v>1429.5240478515625</v>
      </c>
      <c r="N534" s="76">
        <v>1858.13623046875</v>
      </c>
      <c r="O534" s="77"/>
      <c r="P534" s="78"/>
      <c r="Q534" s="78"/>
      <c r="R534" s="82"/>
      <c r="S534" s="82"/>
      <c r="T534" s="82"/>
      <c r="U534" s="82"/>
      <c r="V534" s="52"/>
      <c r="W534" s="52"/>
      <c r="X534" s="52"/>
      <c r="Y534" s="52"/>
      <c r="Z534" s="51"/>
      <c r="AA534" s="73">
        <v>534</v>
      </c>
      <c r="AB534" s="73"/>
      <c r="AC534" s="74"/>
      <c r="AD534" s="80" t="s">
        <v>1766</v>
      </c>
      <c r="AE534" s="80" t="s">
        <v>2733</v>
      </c>
      <c r="AF534" s="80" t="s">
        <v>3230</v>
      </c>
      <c r="AG534" s="80" t="s">
        <v>4221</v>
      </c>
      <c r="AH534" s="80" t="s">
        <v>5087</v>
      </c>
      <c r="AI534" s="80">
        <v>3030</v>
      </c>
      <c r="AJ534" s="80">
        <v>0</v>
      </c>
      <c r="AK534" s="80">
        <v>29</v>
      </c>
      <c r="AL534" s="80">
        <v>1</v>
      </c>
      <c r="AM534" s="80" t="s">
        <v>5614</v>
      </c>
      <c r="AN534" s="102" t="str">
        <f>HYPERLINK("https://www.youtube.com/watch?v=6wDamw_tzDE")</f>
        <v>https://www.youtube.com/watch?v=6wDamw_tzDE</v>
      </c>
      <c r="AO534" s="2"/>
      <c r="AP534" s="3"/>
      <c r="AQ534" s="3"/>
      <c r="AR534" s="3"/>
      <c r="AS534" s="3"/>
    </row>
    <row r="535" spans="1:45" ht="15">
      <c r="A535" s="66" t="s">
        <v>716</v>
      </c>
      <c r="B535" s="67"/>
      <c r="C535" s="67"/>
      <c r="D535" s="68"/>
      <c r="E535" s="70"/>
      <c r="F535" s="100" t="str">
        <f>HYPERLINK("https://i.ytimg.com/vi/dU8H91f11ow/default.jpg")</f>
        <v>https://i.ytimg.com/vi/dU8H91f11ow/default.jpg</v>
      </c>
      <c r="G535" s="67"/>
      <c r="H535" s="71"/>
      <c r="I535" s="72"/>
      <c r="J535" s="72"/>
      <c r="K535" s="71" t="s">
        <v>1767</v>
      </c>
      <c r="L535" s="75"/>
      <c r="M535" s="76">
        <v>1543.955810546875</v>
      </c>
      <c r="N535" s="76">
        <v>1684.778076171875</v>
      </c>
      <c r="O535" s="77"/>
      <c r="P535" s="78"/>
      <c r="Q535" s="78"/>
      <c r="R535" s="82"/>
      <c r="S535" s="82"/>
      <c r="T535" s="82"/>
      <c r="U535" s="82"/>
      <c r="V535" s="52"/>
      <c r="W535" s="52"/>
      <c r="X535" s="52"/>
      <c r="Y535" s="52"/>
      <c r="Z535" s="51"/>
      <c r="AA535" s="73">
        <v>535</v>
      </c>
      <c r="AB535" s="73"/>
      <c r="AC535" s="74"/>
      <c r="AD535" s="80" t="s">
        <v>1767</v>
      </c>
      <c r="AE535" s="80" t="s">
        <v>2734</v>
      </c>
      <c r="AF535" s="80" t="s">
        <v>3230</v>
      </c>
      <c r="AG535" s="80" t="s">
        <v>4222</v>
      </c>
      <c r="AH535" s="80" t="s">
        <v>5088</v>
      </c>
      <c r="AI535" s="80">
        <v>3612</v>
      </c>
      <c r="AJ535" s="80">
        <v>0</v>
      </c>
      <c r="AK535" s="80">
        <v>35</v>
      </c>
      <c r="AL535" s="80">
        <v>2</v>
      </c>
      <c r="AM535" s="80" t="s">
        <v>5614</v>
      </c>
      <c r="AN535" s="102" t="str">
        <f>HYPERLINK("https://www.youtube.com/watch?v=dU8H91f11ow")</f>
        <v>https://www.youtube.com/watch?v=dU8H91f11ow</v>
      </c>
      <c r="AO535" s="2"/>
      <c r="AP535" s="3"/>
      <c r="AQ535" s="3"/>
      <c r="AR535" s="3"/>
      <c r="AS535" s="3"/>
    </row>
    <row r="536" spans="1:45" ht="15">
      <c r="A536" s="66" t="s">
        <v>717</v>
      </c>
      <c r="B536" s="67"/>
      <c r="C536" s="67"/>
      <c r="D536" s="68"/>
      <c r="E536" s="70"/>
      <c r="F536" s="100" t="str">
        <f>HYPERLINK("https://i.ytimg.com/vi/LDW2EiJF8mY/default.jpg")</f>
        <v>https://i.ytimg.com/vi/LDW2EiJF8mY/default.jpg</v>
      </c>
      <c r="G536" s="67"/>
      <c r="H536" s="71"/>
      <c r="I536" s="72"/>
      <c r="J536" s="72"/>
      <c r="K536" s="71" t="s">
        <v>1768</v>
      </c>
      <c r="L536" s="75"/>
      <c r="M536" s="76">
        <v>1530.9796142578125</v>
      </c>
      <c r="N536" s="76">
        <v>1685.7479248046875</v>
      </c>
      <c r="O536" s="77"/>
      <c r="P536" s="78"/>
      <c r="Q536" s="78"/>
      <c r="R536" s="82"/>
      <c r="S536" s="82"/>
      <c r="T536" s="82"/>
      <c r="U536" s="82"/>
      <c r="V536" s="52"/>
      <c r="W536" s="52"/>
      <c r="X536" s="52"/>
      <c r="Y536" s="52"/>
      <c r="Z536" s="51"/>
      <c r="AA536" s="73">
        <v>536</v>
      </c>
      <c r="AB536" s="73"/>
      <c r="AC536" s="74"/>
      <c r="AD536" s="80" t="s">
        <v>1768</v>
      </c>
      <c r="AE536" s="80" t="s">
        <v>2735</v>
      </c>
      <c r="AF536" s="80" t="s">
        <v>3505</v>
      </c>
      <c r="AG536" s="80" t="s">
        <v>4223</v>
      </c>
      <c r="AH536" s="80" t="s">
        <v>5089</v>
      </c>
      <c r="AI536" s="80">
        <v>23192</v>
      </c>
      <c r="AJ536" s="80">
        <v>2</v>
      </c>
      <c r="AK536" s="80">
        <v>153</v>
      </c>
      <c r="AL536" s="80">
        <v>3</v>
      </c>
      <c r="AM536" s="80" t="s">
        <v>5614</v>
      </c>
      <c r="AN536" s="102" t="str">
        <f>HYPERLINK("https://www.youtube.com/watch?v=LDW2EiJF8mY")</f>
        <v>https://www.youtube.com/watch?v=LDW2EiJF8mY</v>
      </c>
      <c r="AO536" s="2"/>
      <c r="AP536" s="3"/>
      <c r="AQ536" s="3"/>
      <c r="AR536" s="3"/>
      <c r="AS536" s="3"/>
    </row>
    <row r="537" spans="1:45" ht="15">
      <c r="A537" s="66" t="s">
        <v>718</v>
      </c>
      <c r="B537" s="67"/>
      <c r="C537" s="67"/>
      <c r="D537" s="68"/>
      <c r="E537" s="70"/>
      <c r="F537" s="100" t="str">
        <f>HYPERLINK("https://i.ytimg.com/vi/hmKn7XcqqCM/default.jpg")</f>
        <v>https://i.ytimg.com/vi/hmKn7XcqqCM/default.jpg</v>
      </c>
      <c r="G537" s="67"/>
      <c r="H537" s="71"/>
      <c r="I537" s="72"/>
      <c r="J537" s="72"/>
      <c r="K537" s="71" t="s">
        <v>1769</v>
      </c>
      <c r="L537" s="75"/>
      <c r="M537" s="76">
        <v>3129.39892578125</v>
      </c>
      <c r="N537" s="76">
        <v>3468.338623046875</v>
      </c>
      <c r="O537" s="77"/>
      <c r="P537" s="78"/>
      <c r="Q537" s="78"/>
      <c r="R537" s="82"/>
      <c r="S537" s="82"/>
      <c r="T537" s="82"/>
      <c r="U537" s="82"/>
      <c r="V537" s="52"/>
      <c r="W537" s="52"/>
      <c r="X537" s="52"/>
      <c r="Y537" s="52"/>
      <c r="Z537" s="51"/>
      <c r="AA537" s="73">
        <v>537</v>
      </c>
      <c r="AB537" s="73"/>
      <c r="AC537" s="74"/>
      <c r="AD537" s="80" t="s">
        <v>1769</v>
      </c>
      <c r="AE537" s="80" t="s">
        <v>2614</v>
      </c>
      <c r="AF537" s="80" t="s">
        <v>3230</v>
      </c>
      <c r="AG537" s="80" t="s">
        <v>4224</v>
      </c>
      <c r="AH537" s="80" t="s">
        <v>5090</v>
      </c>
      <c r="AI537" s="80">
        <v>6666</v>
      </c>
      <c r="AJ537" s="80">
        <v>0</v>
      </c>
      <c r="AK537" s="80">
        <v>77</v>
      </c>
      <c r="AL537" s="80">
        <v>2</v>
      </c>
      <c r="AM537" s="80" t="s">
        <v>5614</v>
      </c>
      <c r="AN537" s="102" t="str">
        <f>HYPERLINK("https://www.youtube.com/watch?v=hmKn7XcqqCM")</f>
        <v>https://www.youtube.com/watch?v=hmKn7XcqqCM</v>
      </c>
      <c r="AO537" s="2"/>
      <c r="AP537" s="3"/>
      <c r="AQ537" s="3"/>
      <c r="AR537" s="3"/>
      <c r="AS537" s="3"/>
    </row>
    <row r="538" spans="1:45" ht="15">
      <c r="A538" s="66" t="s">
        <v>205</v>
      </c>
      <c r="B538" s="67"/>
      <c r="C538" s="67"/>
      <c r="D538" s="68"/>
      <c r="E538" s="70"/>
      <c r="F538" s="100" t="str">
        <f>HYPERLINK("https://i.ytimg.com/vi/SWIFtmg_-4k/default.jpg")</f>
        <v>https://i.ytimg.com/vi/SWIFtmg_-4k/default.jpg</v>
      </c>
      <c r="G538" s="67"/>
      <c r="H538" s="71"/>
      <c r="I538" s="72"/>
      <c r="J538" s="72"/>
      <c r="K538" s="71" t="s">
        <v>1770</v>
      </c>
      <c r="L538" s="75"/>
      <c r="M538" s="76">
        <v>5376.2236328125</v>
      </c>
      <c r="N538" s="76">
        <v>4270.599609375</v>
      </c>
      <c r="O538" s="77"/>
      <c r="P538" s="78"/>
      <c r="Q538" s="78"/>
      <c r="R538" s="82"/>
      <c r="S538" s="82"/>
      <c r="T538" s="82"/>
      <c r="U538" s="82"/>
      <c r="V538" s="52"/>
      <c r="W538" s="52"/>
      <c r="X538" s="52"/>
      <c r="Y538" s="52"/>
      <c r="Z538" s="51"/>
      <c r="AA538" s="73">
        <v>538</v>
      </c>
      <c r="AB538" s="73"/>
      <c r="AC538" s="74"/>
      <c r="AD538" s="80" t="s">
        <v>1770</v>
      </c>
      <c r="AE538" s="80" t="s">
        <v>2736</v>
      </c>
      <c r="AF538" s="80"/>
      <c r="AG538" s="80" t="s">
        <v>4225</v>
      </c>
      <c r="AH538" s="80" t="s">
        <v>5091</v>
      </c>
      <c r="AI538" s="80">
        <v>222</v>
      </c>
      <c r="AJ538" s="80">
        <v>0</v>
      </c>
      <c r="AK538" s="80">
        <v>7</v>
      </c>
      <c r="AL538" s="80">
        <v>0</v>
      </c>
      <c r="AM538" s="80" t="s">
        <v>5614</v>
      </c>
      <c r="AN538" s="102" t="str">
        <f>HYPERLINK("https://www.youtube.com/watch?v=SWIFtmg_-4k")</f>
        <v>https://www.youtube.com/watch?v=SWIFtmg_-4k</v>
      </c>
      <c r="AO538" s="2"/>
      <c r="AP538" s="3"/>
      <c r="AQ538" s="3"/>
      <c r="AR538" s="3"/>
      <c r="AS538" s="3"/>
    </row>
    <row r="539" spans="1:45" ht="15">
      <c r="A539" s="66" t="s">
        <v>719</v>
      </c>
      <c r="B539" s="67"/>
      <c r="C539" s="67"/>
      <c r="D539" s="68"/>
      <c r="E539" s="70"/>
      <c r="F539" s="100" t="str">
        <f>HYPERLINK("https://i.ytimg.com/vi/HrDKKFdSzP4/default.jpg")</f>
        <v>https://i.ytimg.com/vi/HrDKKFdSzP4/default.jpg</v>
      </c>
      <c r="G539" s="67"/>
      <c r="H539" s="71"/>
      <c r="I539" s="72"/>
      <c r="J539" s="72"/>
      <c r="K539" s="71" t="s">
        <v>1771</v>
      </c>
      <c r="L539" s="75"/>
      <c r="M539" s="76">
        <v>4146.8701171875</v>
      </c>
      <c r="N539" s="76">
        <v>6118.45556640625</v>
      </c>
      <c r="O539" s="77"/>
      <c r="P539" s="78"/>
      <c r="Q539" s="78"/>
      <c r="R539" s="82"/>
      <c r="S539" s="82"/>
      <c r="T539" s="82"/>
      <c r="U539" s="82"/>
      <c r="V539" s="52"/>
      <c r="W539" s="52"/>
      <c r="X539" s="52"/>
      <c r="Y539" s="52"/>
      <c r="Z539" s="51"/>
      <c r="AA539" s="73">
        <v>539</v>
      </c>
      <c r="AB539" s="73"/>
      <c r="AC539" s="74"/>
      <c r="AD539" s="80" t="s">
        <v>1771</v>
      </c>
      <c r="AE539" s="80" t="s">
        <v>2737</v>
      </c>
      <c r="AF539" s="80" t="s">
        <v>3506</v>
      </c>
      <c r="AG539" s="80" t="s">
        <v>4226</v>
      </c>
      <c r="AH539" s="80" t="s">
        <v>5092</v>
      </c>
      <c r="AI539" s="80">
        <v>67547</v>
      </c>
      <c r="AJ539" s="80">
        <v>25</v>
      </c>
      <c r="AK539" s="80">
        <v>497</v>
      </c>
      <c r="AL539" s="80">
        <v>43</v>
      </c>
      <c r="AM539" s="80" t="s">
        <v>5614</v>
      </c>
      <c r="AN539" s="102" t="str">
        <f>HYPERLINK("https://www.youtube.com/watch?v=HrDKKFdSzP4")</f>
        <v>https://www.youtube.com/watch?v=HrDKKFdSzP4</v>
      </c>
      <c r="AO539" s="2"/>
      <c r="AP539" s="3"/>
      <c r="AQ539" s="3"/>
      <c r="AR539" s="3"/>
      <c r="AS539" s="3"/>
    </row>
    <row r="540" spans="1:45" ht="15">
      <c r="A540" s="66" t="s">
        <v>720</v>
      </c>
      <c r="B540" s="67"/>
      <c r="C540" s="67"/>
      <c r="D540" s="68"/>
      <c r="E540" s="70"/>
      <c r="F540" s="100" t="str">
        <f>HYPERLINK("https://i.ytimg.com/vi/ksLWg_Wueis/default.jpg")</f>
        <v>https://i.ytimg.com/vi/ksLWg_Wueis/default.jpg</v>
      </c>
      <c r="G540" s="67"/>
      <c r="H540" s="71"/>
      <c r="I540" s="72"/>
      <c r="J540" s="72"/>
      <c r="K540" s="71" t="s">
        <v>1772</v>
      </c>
      <c r="L540" s="75"/>
      <c r="M540" s="76">
        <v>4568.7587890625</v>
      </c>
      <c r="N540" s="76">
        <v>6187.76611328125</v>
      </c>
      <c r="O540" s="77"/>
      <c r="P540" s="78"/>
      <c r="Q540" s="78"/>
      <c r="R540" s="82"/>
      <c r="S540" s="82"/>
      <c r="T540" s="82"/>
      <c r="U540" s="82"/>
      <c r="V540" s="52"/>
      <c r="W540" s="52"/>
      <c r="X540" s="52"/>
      <c r="Y540" s="52"/>
      <c r="Z540" s="51"/>
      <c r="AA540" s="73">
        <v>540</v>
      </c>
      <c r="AB540" s="73"/>
      <c r="AC540" s="74"/>
      <c r="AD540" s="80" t="s">
        <v>1772</v>
      </c>
      <c r="AE540" s="80" t="s">
        <v>2738</v>
      </c>
      <c r="AF540" s="80"/>
      <c r="AG540" s="80" t="s">
        <v>4227</v>
      </c>
      <c r="AH540" s="80" t="s">
        <v>5093</v>
      </c>
      <c r="AI540" s="80">
        <v>15285</v>
      </c>
      <c r="AJ540" s="80">
        <v>44</v>
      </c>
      <c r="AK540" s="80">
        <v>166</v>
      </c>
      <c r="AL540" s="80">
        <v>10</v>
      </c>
      <c r="AM540" s="80" t="s">
        <v>5614</v>
      </c>
      <c r="AN540" s="102" t="str">
        <f>HYPERLINK("https://www.youtube.com/watch?v=ksLWg_Wueis")</f>
        <v>https://www.youtube.com/watch?v=ksLWg_Wueis</v>
      </c>
      <c r="AO540" s="2"/>
      <c r="AP540" s="3"/>
      <c r="AQ540" s="3"/>
      <c r="AR540" s="3"/>
      <c r="AS540" s="3"/>
    </row>
    <row r="541" spans="1:45" ht="15">
      <c r="A541" s="66" t="s">
        <v>721</v>
      </c>
      <c r="B541" s="67"/>
      <c r="C541" s="67"/>
      <c r="D541" s="68"/>
      <c r="E541" s="70"/>
      <c r="F541" s="100" t="str">
        <f>HYPERLINK("https://i.ytimg.com/vi/MCnlgHZxQ3M/default.jpg")</f>
        <v>https://i.ytimg.com/vi/MCnlgHZxQ3M/default.jpg</v>
      </c>
      <c r="G541" s="67"/>
      <c r="H541" s="71"/>
      <c r="I541" s="72"/>
      <c r="J541" s="72"/>
      <c r="K541" s="71" t="s">
        <v>1773</v>
      </c>
      <c r="L541" s="75"/>
      <c r="M541" s="76">
        <v>4690.55126953125</v>
      </c>
      <c r="N541" s="76">
        <v>6276.8603515625</v>
      </c>
      <c r="O541" s="77"/>
      <c r="P541" s="78"/>
      <c r="Q541" s="78"/>
      <c r="R541" s="82"/>
      <c r="S541" s="82"/>
      <c r="T541" s="82"/>
      <c r="U541" s="82"/>
      <c r="V541" s="52"/>
      <c r="W541" s="52"/>
      <c r="X541" s="52"/>
      <c r="Y541" s="52"/>
      <c r="Z541" s="51"/>
      <c r="AA541" s="73">
        <v>541</v>
      </c>
      <c r="AB541" s="73"/>
      <c r="AC541" s="74"/>
      <c r="AD541" s="80" t="s">
        <v>1773</v>
      </c>
      <c r="AE541" s="80" t="s">
        <v>2739</v>
      </c>
      <c r="AF541" s="80"/>
      <c r="AG541" s="80" t="s">
        <v>4228</v>
      </c>
      <c r="AH541" s="80" t="s">
        <v>5094</v>
      </c>
      <c r="AI541" s="80">
        <v>147075</v>
      </c>
      <c r="AJ541" s="80">
        <v>103</v>
      </c>
      <c r="AK541" s="80">
        <v>2235</v>
      </c>
      <c r="AL541" s="80">
        <v>181</v>
      </c>
      <c r="AM541" s="80" t="s">
        <v>5614</v>
      </c>
      <c r="AN541" s="102" t="str">
        <f>HYPERLINK("https://www.youtube.com/watch?v=MCnlgHZxQ3M")</f>
        <v>https://www.youtube.com/watch?v=MCnlgHZxQ3M</v>
      </c>
      <c r="AO541" s="2"/>
      <c r="AP541" s="3"/>
      <c r="AQ541" s="3"/>
      <c r="AR541" s="3"/>
      <c r="AS541" s="3"/>
    </row>
    <row r="542" spans="1:45" ht="15">
      <c r="A542" s="66" t="s">
        <v>722</v>
      </c>
      <c r="B542" s="67"/>
      <c r="C542" s="67"/>
      <c r="D542" s="68"/>
      <c r="E542" s="70"/>
      <c r="F542" s="100" t="str">
        <f>HYPERLINK("https://i.ytimg.com/vi/xpYyT3x5MH4/default.jpg")</f>
        <v>https://i.ytimg.com/vi/xpYyT3x5MH4/default.jpg</v>
      </c>
      <c r="G542" s="67"/>
      <c r="H542" s="71"/>
      <c r="I542" s="72"/>
      <c r="J542" s="72"/>
      <c r="K542" s="71" t="s">
        <v>1774</v>
      </c>
      <c r="L542" s="75"/>
      <c r="M542" s="76">
        <v>4297.90673828125</v>
      </c>
      <c r="N542" s="76">
        <v>6125.6279296875</v>
      </c>
      <c r="O542" s="77"/>
      <c r="P542" s="78"/>
      <c r="Q542" s="78"/>
      <c r="R542" s="82"/>
      <c r="S542" s="82"/>
      <c r="T542" s="82"/>
      <c r="U542" s="82"/>
      <c r="V542" s="52"/>
      <c r="W542" s="52"/>
      <c r="X542" s="52"/>
      <c r="Y542" s="52"/>
      <c r="Z542" s="51"/>
      <c r="AA542" s="73">
        <v>542</v>
      </c>
      <c r="AB542" s="73"/>
      <c r="AC542" s="74"/>
      <c r="AD542" s="80" t="s">
        <v>1774</v>
      </c>
      <c r="AE542" s="80" t="s">
        <v>2740</v>
      </c>
      <c r="AF542" s="80" t="s">
        <v>3507</v>
      </c>
      <c r="AG542" s="80" t="s">
        <v>4229</v>
      </c>
      <c r="AH542" s="80" t="s">
        <v>5095</v>
      </c>
      <c r="AI542" s="80">
        <v>32002</v>
      </c>
      <c r="AJ542" s="80">
        <v>48</v>
      </c>
      <c r="AK542" s="80">
        <v>1044</v>
      </c>
      <c r="AL542" s="80">
        <v>18</v>
      </c>
      <c r="AM542" s="80" t="s">
        <v>5614</v>
      </c>
      <c r="AN542" s="102" t="str">
        <f>HYPERLINK("https://www.youtube.com/watch?v=xpYyT3x5MH4")</f>
        <v>https://www.youtube.com/watch?v=xpYyT3x5MH4</v>
      </c>
      <c r="AO542" s="2"/>
      <c r="AP542" s="3"/>
      <c r="AQ542" s="3"/>
      <c r="AR542" s="3"/>
      <c r="AS542" s="3"/>
    </row>
    <row r="543" spans="1:45" ht="15">
      <c r="A543" s="66" t="s">
        <v>723</v>
      </c>
      <c r="B543" s="67"/>
      <c r="C543" s="67"/>
      <c r="D543" s="68"/>
      <c r="E543" s="70"/>
      <c r="F543" s="100" t="str">
        <f>HYPERLINK("https://i.ytimg.com/vi/80vpveNasic/default.jpg")</f>
        <v>https://i.ytimg.com/vi/80vpveNasic/default.jpg</v>
      </c>
      <c r="G543" s="67"/>
      <c r="H543" s="71"/>
      <c r="I543" s="72"/>
      <c r="J543" s="72"/>
      <c r="K543" s="71" t="s">
        <v>1775</v>
      </c>
      <c r="L543" s="75"/>
      <c r="M543" s="76">
        <v>4107.88916015625</v>
      </c>
      <c r="N543" s="76">
        <v>6090.78271484375</v>
      </c>
      <c r="O543" s="77"/>
      <c r="P543" s="78"/>
      <c r="Q543" s="78"/>
      <c r="R543" s="82"/>
      <c r="S543" s="82"/>
      <c r="T543" s="82"/>
      <c r="U543" s="82"/>
      <c r="V543" s="52"/>
      <c r="W543" s="52"/>
      <c r="X543" s="52"/>
      <c r="Y543" s="52"/>
      <c r="Z543" s="51"/>
      <c r="AA543" s="73">
        <v>543</v>
      </c>
      <c r="AB543" s="73"/>
      <c r="AC543" s="74"/>
      <c r="AD543" s="80" t="s">
        <v>1775</v>
      </c>
      <c r="AE543" s="80"/>
      <c r="AF543" s="80"/>
      <c r="AG543" s="80" t="s">
        <v>4230</v>
      </c>
      <c r="AH543" s="80" t="s">
        <v>5096</v>
      </c>
      <c r="AI543" s="80">
        <v>4207</v>
      </c>
      <c r="AJ543" s="80">
        <v>5</v>
      </c>
      <c r="AK543" s="80">
        <v>122</v>
      </c>
      <c r="AL543" s="80">
        <v>1</v>
      </c>
      <c r="AM543" s="80" t="s">
        <v>5614</v>
      </c>
      <c r="AN543" s="102" t="str">
        <f>HYPERLINK("https://www.youtube.com/watch?v=80vpveNasic")</f>
        <v>https://www.youtube.com/watch?v=80vpveNasic</v>
      </c>
      <c r="AO543" s="2"/>
      <c r="AP543" s="3"/>
      <c r="AQ543" s="3"/>
      <c r="AR543" s="3"/>
      <c r="AS543" s="3"/>
    </row>
    <row r="544" spans="1:45" ht="15">
      <c r="A544" s="66" t="s">
        <v>724</v>
      </c>
      <c r="B544" s="67"/>
      <c r="C544" s="67"/>
      <c r="D544" s="68"/>
      <c r="E544" s="70"/>
      <c r="F544" s="100" t="str">
        <f>HYPERLINK("https://i.ytimg.com/vi/-NXOyS16QPs/default.jpg")</f>
        <v>https://i.ytimg.com/vi/-NXOyS16QPs/default.jpg</v>
      </c>
      <c r="G544" s="67"/>
      <c r="H544" s="71"/>
      <c r="I544" s="72"/>
      <c r="J544" s="72"/>
      <c r="K544" s="71" t="s">
        <v>1776</v>
      </c>
      <c r="L544" s="75"/>
      <c r="M544" s="76">
        <v>4447.033203125</v>
      </c>
      <c r="N544" s="76">
        <v>6259.8076171875</v>
      </c>
      <c r="O544" s="77"/>
      <c r="P544" s="78"/>
      <c r="Q544" s="78"/>
      <c r="R544" s="82"/>
      <c r="S544" s="82"/>
      <c r="T544" s="82"/>
      <c r="U544" s="82"/>
      <c r="V544" s="52"/>
      <c r="W544" s="52"/>
      <c r="X544" s="52"/>
      <c r="Y544" s="52"/>
      <c r="Z544" s="51"/>
      <c r="AA544" s="73">
        <v>544</v>
      </c>
      <c r="AB544" s="73"/>
      <c r="AC544" s="74"/>
      <c r="AD544" s="80" t="s">
        <v>1776</v>
      </c>
      <c r="AE544" s="80" t="s">
        <v>2741</v>
      </c>
      <c r="AF544" s="80"/>
      <c r="AG544" s="80" t="s">
        <v>4231</v>
      </c>
      <c r="AH544" s="80" t="s">
        <v>5097</v>
      </c>
      <c r="AI544" s="80">
        <v>55559</v>
      </c>
      <c r="AJ544" s="80">
        <v>58</v>
      </c>
      <c r="AK544" s="80">
        <v>758</v>
      </c>
      <c r="AL544" s="80">
        <v>40</v>
      </c>
      <c r="AM544" s="80" t="s">
        <v>5614</v>
      </c>
      <c r="AN544" s="102" t="str">
        <f>HYPERLINK("https://www.youtube.com/watch?v=-NXOyS16QPs")</f>
        <v>https://www.youtube.com/watch?v=-NXOyS16QPs</v>
      </c>
      <c r="AO544" s="2"/>
      <c r="AP544" s="3"/>
      <c r="AQ544" s="3"/>
      <c r="AR544" s="3"/>
      <c r="AS544" s="3"/>
    </row>
    <row r="545" spans="1:45" ht="15">
      <c r="A545" s="66" t="s">
        <v>725</v>
      </c>
      <c r="B545" s="67"/>
      <c r="C545" s="67"/>
      <c r="D545" s="68"/>
      <c r="E545" s="70"/>
      <c r="F545" s="100" t="str">
        <f>HYPERLINK("https://i.ytimg.com/vi/CBVIpQ8iWsU/default.jpg")</f>
        <v>https://i.ytimg.com/vi/CBVIpQ8iWsU/default.jpg</v>
      </c>
      <c r="G545" s="67"/>
      <c r="H545" s="71"/>
      <c r="I545" s="72"/>
      <c r="J545" s="72"/>
      <c r="K545" s="71" t="s">
        <v>1777</v>
      </c>
      <c r="L545" s="75"/>
      <c r="M545" s="76">
        <v>4462.96630859375</v>
      </c>
      <c r="N545" s="76">
        <v>6214.3466796875</v>
      </c>
      <c r="O545" s="77"/>
      <c r="P545" s="78"/>
      <c r="Q545" s="78"/>
      <c r="R545" s="82"/>
      <c r="S545" s="82"/>
      <c r="T545" s="82"/>
      <c r="U545" s="82"/>
      <c r="V545" s="52"/>
      <c r="W545" s="52"/>
      <c r="X545" s="52"/>
      <c r="Y545" s="52"/>
      <c r="Z545" s="51"/>
      <c r="AA545" s="73">
        <v>545</v>
      </c>
      <c r="AB545" s="73"/>
      <c r="AC545" s="74"/>
      <c r="AD545" s="80" t="s">
        <v>1777</v>
      </c>
      <c r="AE545" s="80"/>
      <c r="AF545" s="80"/>
      <c r="AG545" s="80" t="s">
        <v>4232</v>
      </c>
      <c r="AH545" s="80" t="s">
        <v>5098</v>
      </c>
      <c r="AI545" s="80">
        <v>7424</v>
      </c>
      <c r="AJ545" s="80">
        <v>3</v>
      </c>
      <c r="AK545" s="80">
        <v>85</v>
      </c>
      <c r="AL545" s="80">
        <v>7</v>
      </c>
      <c r="AM545" s="80" t="s">
        <v>5614</v>
      </c>
      <c r="AN545" s="102" t="str">
        <f>HYPERLINK("https://www.youtube.com/watch?v=CBVIpQ8iWsU")</f>
        <v>https://www.youtube.com/watch?v=CBVIpQ8iWsU</v>
      </c>
      <c r="AO545" s="2"/>
      <c r="AP545" s="3"/>
      <c r="AQ545" s="3"/>
      <c r="AR545" s="3"/>
      <c r="AS545" s="3"/>
    </row>
    <row r="546" spans="1:45" ht="15">
      <c r="A546" s="66" t="s">
        <v>726</v>
      </c>
      <c r="B546" s="67"/>
      <c r="C546" s="67"/>
      <c r="D546" s="68"/>
      <c r="E546" s="70"/>
      <c r="F546" s="100" t="str">
        <f>HYPERLINK("https://i.ytimg.com/vi/3S5B2naPCzg/default.jpg")</f>
        <v>https://i.ytimg.com/vi/3S5B2naPCzg/default.jpg</v>
      </c>
      <c r="G546" s="67"/>
      <c r="H546" s="71"/>
      <c r="I546" s="72"/>
      <c r="J546" s="72"/>
      <c r="K546" s="71" t="s">
        <v>1778</v>
      </c>
      <c r="L546" s="75"/>
      <c r="M546" s="76">
        <v>4673.09912109375</v>
      </c>
      <c r="N546" s="76">
        <v>6254.388671875</v>
      </c>
      <c r="O546" s="77"/>
      <c r="P546" s="78"/>
      <c r="Q546" s="78"/>
      <c r="R546" s="82"/>
      <c r="S546" s="82"/>
      <c r="T546" s="82"/>
      <c r="U546" s="82"/>
      <c r="V546" s="52"/>
      <c r="W546" s="52"/>
      <c r="X546" s="52"/>
      <c r="Y546" s="52"/>
      <c r="Z546" s="51"/>
      <c r="AA546" s="73">
        <v>546</v>
      </c>
      <c r="AB546" s="73"/>
      <c r="AC546" s="74"/>
      <c r="AD546" s="80" t="s">
        <v>1778</v>
      </c>
      <c r="AE546" s="80" t="s">
        <v>2742</v>
      </c>
      <c r="AF546" s="80"/>
      <c r="AG546" s="80" t="s">
        <v>4233</v>
      </c>
      <c r="AH546" s="80" t="s">
        <v>5099</v>
      </c>
      <c r="AI546" s="80">
        <v>1423</v>
      </c>
      <c r="AJ546" s="80">
        <v>13</v>
      </c>
      <c r="AK546" s="80">
        <v>48</v>
      </c>
      <c r="AL546" s="80">
        <v>0</v>
      </c>
      <c r="AM546" s="80" t="s">
        <v>5614</v>
      </c>
      <c r="AN546" s="102" t="str">
        <f>HYPERLINK("https://www.youtube.com/watch?v=3S5B2naPCzg")</f>
        <v>https://www.youtube.com/watch?v=3S5B2naPCzg</v>
      </c>
      <c r="AO546" s="2"/>
      <c r="AP546" s="3"/>
      <c r="AQ546" s="3"/>
      <c r="AR546" s="3"/>
      <c r="AS546" s="3"/>
    </row>
    <row r="547" spans="1:45" ht="15">
      <c r="A547" s="66" t="s">
        <v>727</v>
      </c>
      <c r="B547" s="67"/>
      <c r="C547" s="67"/>
      <c r="D547" s="68"/>
      <c r="E547" s="70"/>
      <c r="F547" s="100" t="str">
        <f>HYPERLINK("https://i.ytimg.com/vi/jQ6yStJEBk8/default.jpg")</f>
        <v>https://i.ytimg.com/vi/jQ6yStJEBk8/default.jpg</v>
      </c>
      <c r="G547" s="67"/>
      <c r="H547" s="71"/>
      <c r="I547" s="72"/>
      <c r="J547" s="72"/>
      <c r="K547" s="71" t="s">
        <v>1779</v>
      </c>
      <c r="L547" s="75"/>
      <c r="M547" s="76">
        <v>3912.418212890625</v>
      </c>
      <c r="N547" s="76">
        <v>6008.45556640625</v>
      </c>
      <c r="O547" s="77"/>
      <c r="P547" s="78"/>
      <c r="Q547" s="78"/>
      <c r="R547" s="82"/>
      <c r="S547" s="82"/>
      <c r="T547" s="82"/>
      <c r="U547" s="82"/>
      <c r="V547" s="52"/>
      <c r="W547" s="52"/>
      <c r="X547" s="52"/>
      <c r="Y547" s="52"/>
      <c r="Z547" s="51"/>
      <c r="AA547" s="73">
        <v>547</v>
      </c>
      <c r="AB547" s="73"/>
      <c r="AC547" s="74"/>
      <c r="AD547" s="80" t="s">
        <v>1779</v>
      </c>
      <c r="AE547" s="80" t="s">
        <v>2743</v>
      </c>
      <c r="AF547" s="80"/>
      <c r="AG547" s="80" t="s">
        <v>4225</v>
      </c>
      <c r="AH547" s="80" t="s">
        <v>5100</v>
      </c>
      <c r="AI547" s="80">
        <v>50</v>
      </c>
      <c r="AJ547" s="80">
        <v>0</v>
      </c>
      <c r="AK547" s="80">
        <v>6</v>
      </c>
      <c r="AL547" s="80">
        <v>0</v>
      </c>
      <c r="AM547" s="80" t="s">
        <v>5614</v>
      </c>
      <c r="AN547" s="102" t="str">
        <f>HYPERLINK("https://www.youtube.com/watch?v=jQ6yStJEBk8")</f>
        <v>https://www.youtube.com/watch?v=jQ6yStJEBk8</v>
      </c>
      <c r="AO547" s="2"/>
      <c r="AP547" s="3"/>
      <c r="AQ547" s="3"/>
      <c r="AR547" s="3"/>
      <c r="AS547" s="3"/>
    </row>
    <row r="548" spans="1:45" ht="15">
      <c r="A548" s="66" t="s">
        <v>728</v>
      </c>
      <c r="B548" s="67"/>
      <c r="C548" s="67"/>
      <c r="D548" s="68"/>
      <c r="E548" s="70"/>
      <c r="F548" s="100" t="str">
        <f>HYPERLINK("https://i.ytimg.com/vi/SMSdqooCju0/default.jpg")</f>
        <v>https://i.ytimg.com/vi/SMSdqooCju0/default.jpg</v>
      </c>
      <c r="G548" s="67"/>
      <c r="H548" s="71"/>
      <c r="I548" s="72"/>
      <c r="J548" s="72"/>
      <c r="K548" s="71" t="s">
        <v>1780</v>
      </c>
      <c r="L548" s="75"/>
      <c r="M548" s="76">
        <v>5475.693359375</v>
      </c>
      <c r="N548" s="76">
        <v>5964.748046875</v>
      </c>
      <c r="O548" s="77"/>
      <c r="P548" s="78"/>
      <c r="Q548" s="78"/>
      <c r="R548" s="82"/>
      <c r="S548" s="82"/>
      <c r="T548" s="82"/>
      <c r="U548" s="82"/>
      <c r="V548" s="52"/>
      <c r="W548" s="52"/>
      <c r="X548" s="52"/>
      <c r="Y548" s="52"/>
      <c r="Z548" s="51"/>
      <c r="AA548" s="73">
        <v>548</v>
      </c>
      <c r="AB548" s="73"/>
      <c r="AC548" s="74"/>
      <c r="AD548" s="80" t="s">
        <v>1780</v>
      </c>
      <c r="AE548" s="80" t="s">
        <v>2744</v>
      </c>
      <c r="AF548" s="80" t="s">
        <v>3508</v>
      </c>
      <c r="AG548" s="80" t="s">
        <v>4112</v>
      </c>
      <c r="AH548" s="80" t="s">
        <v>5101</v>
      </c>
      <c r="AI548" s="80">
        <v>247460</v>
      </c>
      <c r="AJ548" s="80">
        <v>0</v>
      </c>
      <c r="AK548" s="80">
        <v>1063</v>
      </c>
      <c r="AL548" s="80">
        <v>82</v>
      </c>
      <c r="AM548" s="80" t="s">
        <v>5614</v>
      </c>
      <c r="AN548" s="102" t="str">
        <f>HYPERLINK("https://www.youtube.com/watch?v=SMSdqooCju0")</f>
        <v>https://www.youtube.com/watch?v=SMSdqooCju0</v>
      </c>
      <c r="AO548" s="2"/>
      <c r="AP548" s="3"/>
      <c r="AQ548" s="3"/>
      <c r="AR548" s="3"/>
      <c r="AS548" s="3"/>
    </row>
    <row r="549" spans="1:45" ht="15">
      <c r="A549" s="66" t="s">
        <v>729</v>
      </c>
      <c r="B549" s="67"/>
      <c r="C549" s="67"/>
      <c r="D549" s="68"/>
      <c r="E549" s="70"/>
      <c r="F549" s="100" t="str">
        <f>HYPERLINK("https://i.ytimg.com/vi/eiwBs8CdhYM/default.jpg")</f>
        <v>https://i.ytimg.com/vi/eiwBs8CdhYM/default.jpg</v>
      </c>
      <c r="G549" s="67"/>
      <c r="H549" s="71"/>
      <c r="I549" s="72"/>
      <c r="J549" s="72"/>
      <c r="K549" s="71" t="s">
        <v>1781</v>
      </c>
      <c r="L549" s="75"/>
      <c r="M549" s="76">
        <v>3105.964111328125</v>
      </c>
      <c r="N549" s="76">
        <v>4997.2578125</v>
      </c>
      <c r="O549" s="77"/>
      <c r="P549" s="78"/>
      <c r="Q549" s="78"/>
      <c r="R549" s="82"/>
      <c r="S549" s="82"/>
      <c r="T549" s="82"/>
      <c r="U549" s="82"/>
      <c r="V549" s="52"/>
      <c r="W549" s="52"/>
      <c r="X549" s="52"/>
      <c r="Y549" s="52"/>
      <c r="Z549" s="51"/>
      <c r="AA549" s="73">
        <v>549</v>
      </c>
      <c r="AB549" s="73"/>
      <c r="AC549" s="74"/>
      <c r="AD549" s="80" t="s">
        <v>1781</v>
      </c>
      <c r="AE549" s="80" t="s">
        <v>2745</v>
      </c>
      <c r="AF549" s="80" t="s">
        <v>3509</v>
      </c>
      <c r="AG549" s="80" t="s">
        <v>3887</v>
      </c>
      <c r="AH549" s="80" t="s">
        <v>5102</v>
      </c>
      <c r="AI549" s="80">
        <v>4692</v>
      </c>
      <c r="AJ549" s="80">
        <v>0</v>
      </c>
      <c r="AK549" s="80">
        <v>30</v>
      </c>
      <c r="AL549" s="80">
        <v>2</v>
      </c>
      <c r="AM549" s="80" t="s">
        <v>5614</v>
      </c>
      <c r="AN549" s="102" t="str">
        <f>HYPERLINK("https://www.youtube.com/watch?v=eiwBs8CdhYM")</f>
        <v>https://www.youtube.com/watch?v=eiwBs8CdhYM</v>
      </c>
      <c r="AO549" s="2"/>
      <c r="AP549" s="3"/>
      <c r="AQ549" s="3"/>
      <c r="AR549" s="3"/>
      <c r="AS549" s="3"/>
    </row>
    <row r="550" spans="1:45" ht="15">
      <c r="A550" s="66" t="s">
        <v>730</v>
      </c>
      <c r="B550" s="67"/>
      <c r="C550" s="67"/>
      <c r="D550" s="68"/>
      <c r="E550" s="70"/>
      <c r="F550" s="100" t="str">
        <f>HYPERLINK("https://i.ytimg.com/vi/vpNzBuIbBMw/default.jpg")</f>
        <v>https://i.ytimg.com/vi/vpNzBuIbBMw/default.jpg</v>
      </c>
      <c r="G550" s="67"/>
      <c r="H550" s="71"/>
      <c r="I550" s="72"/>
      <c r="J550" s="72"/>
      <c r="K550" s="71" t="s">
        <v>1782</v>
      </c>
      <c r="L550" s="75"/>
      <c r="M550" s="76">
        <v>5561.47509765625</v>
      </c>
      <c r="N550" s="76">
        <v>5959.78173828125</v>
      </c>
      <c r="O550" s="77"/>
      <c r="P550" s="78"/>
      <c r="Q550" s="78"/>
      <c r="R550" s="82"/>
      <c r="S550" s="82"/>
      <c r="T550" s="82"/>
      <c r="U550" s="82"/>
      <c r="V550" s="52"/>
      <c r="W550" s="52"/>
      <c r="X550" s="52"/>
      <c r="Y550" s="52"/>
      <c r="Z550" s="51"/>
      <c r="AA550" s="73">
        <v>550</v>
      </c>
      <c r="AB550" s="73"/>
      <c r="AC550" s="74"/>
      <c r="AD550" s="80" t="s">
        <v>1782</v>
      </c>
      <c r="AE550" s="80" t="s">
        <v>2746</v>
      </c>
      <c r="AF550" s="80" t="s">
        <v>3510</v>
      </c>
      <c r="AG550" s="80" t="s">
        <v>3987</v>
      </c>
      <c r="AH550" s="80" t="s">
        <v>5103</v>
      </c>
      <c r="AI550" s="80">
        <v>22790</v>
      </c>
      <c r="AJ550" s="80">
        <v>0</v>
      </c>
      <c r="AK550" s="80">
        <v>0</v>
      </c>
      <c r="AL550" s="80">
        <v>0</v>
      </c>
      <c r="AM550" s="80" t="s">
        <v>5614</v>
      </c>
      <c r="AN550" s="102" t="str">
        <f>HYPERLINK("https://www.youtube.com/watch?v=vpNzBuIbBMw")</f>
        <v>https://www.youtube.com/watch?v=vpNzBuIbBMw</v>
      </c>
      <c r="AO550" s="2"/>
      <c r="AP550" s="3"/>
      <c r="AQ550" s="3"/>
      <c r="AR550" s="3"/>
      <c r="AS550" s="3"/>
    </row>
    <row r="551" spans="1:45" ht="15">
      <c r="A551" s="66" t="s">
        <v>731</v>
      </c>
      <c r="B551" s="67"/>
      <c r="C551" s="67"/>
      <c r="D551" s="68"/>
      <c r="E551" s="70"/>
      <c r="F551" s="100" t="str">
        <f>HYPERLINK("https://i.ytimg.com/vi/Sr5ZF62-nXs/default.jpg")</f>
        <v>https://i.ytimg.com/vi/Sr5ZF62-nXs/default.jpg</v>
      </c>
      <c r="G551" s="67"/>
      <c r="H551" s="71"/>
      <c r="I551" s="72"/>
      <c r="J551" s="72"/>
      <c r="K551" s="71" t="s">
        <v>1783</v>
      </c>
      <c r="L551" s="75"/>
      <c r="M551" s="76">
        <v>4036.23779296875</v>
      </c>
      <c r="N551" s="76">
        <v>3422.287109375</v>
      </c>
      <c r="O551" s="77"/>
      <c r="P551" s="78"/>
      <c r="Q551" s="78"/>
      <c r="R551" s="82"/>
      <c r="S551" s="82"/>
      <c r="T551" s="82"/>
      <c r="U551" s="82"/>
      <c r="V551" s="52"/>
      <c r="W551" s="52"/>
      <c r="X551" s="52"/>
      <c r="Y551" s="52"/>
      <c r="Z551" s="51"/>
      <c r="AA551" s="73">
        <v>551</v>
      </c>
      <c r="AB551" s="73"/>
      <c r="AC551" s="74"/>
      <c r="AD551" s="80" t="s">
        <v>1783</v>
      </c>
      <c r="AE551" s="80" t="s">
        <v>2747</v>
      </c>
      <c r="AF551" s="80" t="s">
        <v>3511</v>
      </c>
      <c r="AG551" s="80" t="s">
        <v>4234</v>
      </c>
      <c r="AH551" s="80" t="s">
        <v>5104</v>
      </c>
      <c r="AI551" s="80">
        <v>281818</v>
      </c>
      <c r="AJ551" s="80">
        <v>40</v>
      </c>
      <c r="AK551" s="80">
        <v>1442</v>
      </c>
      <c r="AL551" s="80">
        <v>37</v>
      </c>
      <c r="AM551" s="80" t="s">
        <v>5614</v>
      </c>
      <c r="AN551" s="102" t="str">
        <f>HYPERLINK("https://www.youtube.com/watch?v=Sr5ZF62-nXs")</f>
        <v>https://www.youtube.com/watch?v=Sr5ZF62-nXs</v>
      </c>
      <c r="AO551" s="2"/>
      <c r="AP551" s="3"/>
      <c r="AQ551" s="3"/>
      <c r="AR551" s="3"/>
      <c r="AS551" s="3"/>
    </row>
    <row r="552" spans="1:45" ht="15">
      <c r="A552" s="66" t="s">
        <v>732</v>
      </c>
      <c r="B552" s="67"/>
      <c r="C552" s="67"/>
      <c r="D552" s="68"/>
      <c r="E552" s="70"/>
      <c r="F552" s="100" t="str">
        <f>HYPERLINK("https://i.ytimg.com/vi/v8nbzM77BXU/default.jpg")</f>
        <v>https://i.ytimg.com/vi/v8nbzM77BXU/default.jpg</v>
      </c>
      <c r="G552" s="67"/>
      <c r="H552" s="71"/>
      <c r="I552" s="72"/>
      <c r="J552" s="72"/>
      <c r="K552" s="71" t="s">
        <v>1784</v>
      </c>
      <c r="L552" s="75"/>
      <c r="M552" s="76">
        <v>2713.205078125</v>
      </c>
      <c r="N552" s="76">
        <v>4433.35400390625</v>
      </c>
      <c r="O552" s="77"/>
      <c r="P552" s="78"/>
      <c r="Q552" s="78"/>
      <c r="R552" s="82"/>
      <c r="S552" s="82"/>
      <c r="T552" s="82"/>
      <c r="U552" s="82"/>
      <c r="V552" s="52"/>
      <c r="W552" s="52"/>
      <c r="X552" s="52"/>
      <c r="Y552" s="52"/>
      <c r="Z552" s="51"/>
      <c r="AA552" s="73">
        <v>552</v>
      </c>
      <c r="AB552" s="73"/>
      <c r="AC552" s="74"/>
      <c r="AD552" s="80" t="s">
        <v>1784</v>
      </c>
      <c r="AE552" s="80" t="s">
        <v>1784</v>
      </c>
      <c r="AF552" s="80"/>
      <c r="AG552" s="80" t="s">
        <v>4235</v>
      </c>
      <c r="AH552" s="80" t="s">
        <v>5105</v>
      </c>
      <c r="AI552" s="80">
        <v>10307</v>
      </c>
      <c r="AJ552" s="80">
        <v>1</v>
      </c>
      <c r="AK552" s="80">
        <v>94</v>
      </c>
      <c r="AL552" s="80">
        <v>1</v>
      </c>
      <c r="AM552" s="80" t="s">
        <v>5614</v>
      </c>
      <c r="AN552" s="102" t="str">
        <f>HYPERLINK("https://www.youtube.com/watch?v=v8nbzM77BXU")</f>
        <v>https://www.youtube.com/watch?v=v8nbzM77BXU</v>
      </c>
      <c r="AO552" s="2"/>
      <c r="AP552" s="3"/>
      <c r="AQ552" s="3"/>
      <c r="AR552" s="3"/>
      <c r="AS552" s="3"/>
    </row>
    <row r="553" spans="1:45" ht="15">
      <c r="A553" s="66" t="s">
        <v>733</v>
      </c>
      <c r="B553" s="67"/>
      <c r="C553" s="67"/>
      <c r="D553" s="68"/>
      <c r="E553" s="70"/>
      <c r="F553" s="100" t="str">
        <f>HYPERLINK("https://i.ytimg.com/vi/Yg5nfJZA954/default.jpg")</f>
        <v>https://i.ytimg.com/vi/Yg5nfJZA954/default.jpg</v>
      </c>
      <c r="G553" s="67"/>
      <c r="H553" s="71"/>
      <c r="I553" s="72"/>
      <c r="J553" s="72"/>
      <c r="K553" s="71" t="s">
        <v>1785</v>
      </c>
      <c r="L553" s="75"/>
      <c r="M553" s="76">
        <v>2753.214599609375</v>
      </c>
      <c r="N553" s="76">
        <v>4467.0751953125</v>
      </c>
      <c r="O553" s="77"/>
      <c r="P553" s="78"/>
      <c r="Q553" s="78"/>
      <c r="R553" s="82"/>
      <c r="S553" s="82"/>
      <c r="T553" s="82"/>
      <c r="U553" s="82"/>
      <c r="V553" s="52"/>
      <c r="W553" s="52"/>
      <c r="X553" s="52"/>
      <c r="Y553" s="52"/>
      <c r="Z553" s="51"/>
      <c r="AA553" s="73">
        <v>553</v>
      </c>
      <c r="AB553" s="73"/>
      <c r="AC553" s="74"/>
      <c r="AD553" s="80" t="s">
        <v>1785</v>
      </c>
      <c r="AE553" s="80"/>
      <c r="AF553" s="80"/>
      <c r="AG553" s="80" t="s">
        <v>4236</v>
      </c>
      <c r="AH553" s="80" t="s">
        <v>5106</v>
      </c>
      <c r="AI553" s="80">
        <v>6478</v>
      </c>
      <c r="AJ553" s="80">
        <v>11</v>
      </c>
      <c r="AK553" s="80">
        <v>109</v>
      </c>
      <c r="AL553" s="80">
        <v>2</v>
      </c>
      <c r="AM553" s="80" t="s">
        <v>5614</v>
      </c>
      <c r="AN553" s="102" t="str">
        <f>HYPERLINK("https://www.youtube.com/watch?v=Yg5nfJZA954")</f>
        <v>https://www.youtube.com/watch?v=Yg5nfJZA954</v>
      </c>
      <c r="AO553" s="2"/>
      <c r="AP553" s="3"/>
      <c r="AQ553" s="3"/>
      <c r="AR553" s="3"/>
      <c r="AS553" s="3"/>
    </row>
    <row r="554" spans="1:45" ht="15">
      <c r="A554" s="66" t="s">
        <v>734</v>
      </c>
      <c r="B554" s="67"/>
      <c r="C554" s="67"/>
      <c r="D554" s="68"/>
      <c r="E554" s="70"/>
      <c r="F554" s="100" t="str">
        <f>HYPERLINK("https://i.ytimg.com/vi/xl8Y1LkPezY/default.jpg")</f>
        <v>https://i.ytimg.com/vi/xl8Y1LkPezY/default.jpg</v>
      </c>
      <c r="G554" s="67"/>
      <c r="H554" s="71"/>
      <c r="I554" s="72"/>
      <c r="J554" s="72"/>
      <c r="K554" s="71" t="s">
        <v>1786</v>
      </c>
      <c r="L554" s="75"/>
      <c r="M554" s="76">
        <v>3807.461669921875</v>
      </c>
      <c r="N554" s="76">
        <v>5928.611328125</v>
      </c>
      <c r="O554" s="77"/>
      <c r="P554" s="78"/>
      <c r="Q554" s="78"/>
      <c r="R554" s="82"/>
      <c r="S554" s="82"/>
      <c r="T554" s="82"/>
      <c r="U554" s="82"/>
      <c r="V554" s="52"/>
      <c r="W554" s="52"/>
      <c r="X554" s="52"/>
      <c r="Y554" s="52"/>
      <c r="Z554" s="51"/>
      <c r="AA554" s="73">
        <v>554</v>
      </c>
      <c r="AB554" s="73"/>
      <c r="AC554" s="74"/>
      <c r="AD554" s="80" t="s">
        <v>1786</v>
      </c>
      <c r="AE554" s="80" t="s">
        <v>2748</v>
      </c>
      <c r="AF554" s="80" t="s">
        <v>3512</v>
      </c>
      <c r="AG554" s="80" t="s">
        <v>4237</v>
      </c>
      <c r="AH554" s="80" t="s">
        <v>5107</v>
      </c>
      <c r="AI554" s="80">
        <v>15188</v>
      </c>
      <c r="AJ554" s="80">
        <v>0</v>
      </c>
      <c r="AK554" s="80">
        <v>19</v>
      </c>
      <c r="AL554" s="80">
        <v>0</v>
      </c>
      <c r="AM554" s="80" t="s">
        <v>5614</v>
      </c>
      <c r="AN554" s="102" t="str">
        <f>HYPERLINK("https://www.youtube.com/watch?v=xl8Y1LkPezY")</f>
        <v>https://www.youtube.com/watch?v=xl8Y1LkPezY</v>
      </c>
      <c r="AO554" s="2"/>
      <c r="AP554" s="3"/>
      <c r="AQ554" s="3"/>
      <c r="AR554" s="3"/>
      <c r="AS554" s="3"/>
    </row>
    <row r="555" spans="1:45" ht="15">
      <c r="A555" s="66" t="s">
        <v>735</v>
      </c>
      <c r="B555" s="67"/>
      <c r="C555" s="67"/>
      <c r="D555" s="68"/>
      <c r="E555" s="70"/>
      <c r="F555" s="100" t="str">
        <f>HYPERLINK("https://i.ytimg.com/vi/LZaqM69M7RM/default.jpg")</f>
        <v>https://i.ytimg.com/vi/LZaqM69M7RM/default.jpg</v>
      </c>
      <c r="G555" s="67"/>
      <c r="H555" s="71"/>
      <c r="I555" s="72"/>
      <c r="J555" s="72"/>
      <c r="K555" s="71" t="s">
        <v>1787</v>
      </c>
      <c r="L555" s="75"/>
      <c r="M555" s="76">
        <v>4203.99169921875</v>
      </c>
      <c r="N555" s="76">
        <v>6106.0595703125</v>
      </c>
      <c r="O555" s="77"/>
      <c r="P555" s="78"/>
      <c r="Q555" s="78"/>
      <c r="R555" s="82"/>
      <c r="S555" s="82"/>
      <c r="T555" s="82"/>
      <c r="U555" s="82"/>
      <c r="V555" s="52"/>
      <c r="W555" s="52"/>
      <c r="X555" s="52"/>
      <c r="Y555" s="52"/>
      <c r="Z555" s="51"/>
      <c r="AA555" s="73">
        <v>555</v>
      </c>
      <c r="AB555" s="73"/>
      <c r="AC555" s="74"/>
      <c r="AD555" s="80" t="s">
        <v>1787</v>
      </c>
      <c r="AE555" s="80" t="s">
        <v>2749</v>
      </c>
      <c r="AF555" s="80"/>
      <c r="AG555" s="80" t="s">
        <v>4053</v>
      </c>
      <c r="AH555" s="80" t="s">
        <v>5108</v>
      </c>
      <c r="AI555" s="80">
        <v>10483</v>
      </c>
      <c r="AJ555" s="80">
        <v>0</v>
      </c>
      <c r="AK555" s="80">
        <v>132</v>
      </c>
      <c r="AL555" s="80">
        <v>4</v>
      </c>
      <c r="AM555" s="80" t="s">
        <v>5614</v>
      </c>
      <c r="AN555" s="102" t="str">
        <f>HYPERLINK("https://www.youtube.com/watch?v=LZaqM69M7RM")</f>
        <v>https://www.youtube.com/watch?v=LZaqM69M7RM</v>
      </c>
      <c r="AO555" s="2"/>
      <c r="AP555" s="3"/>
      <c r="AQ555" s="3"/>
      <c r="AR555" s="3"/>
      <c r="AS555" s="3"/>
    </row>
    <row r="556" spans="1:45" ht="15">
      <c r="A556" s="66" t="s">
        <v>736</v>
      </c>
      <c r="B556" s="67"/>
      <c r="C556" s="67"/>
      <c r="D556" s="68"/>
      <c r="E556" s="70"/>
      <c r="F556" s="100" t="str">
        <f>HYPERLINK("https://i.ytimg.com/vi/ERag1oSE6O8/default.jpg")</f>
        <v>https://i.ytimg.com/vi/ERag1oSE6O8/default.jpg</v>
      </c>
      <c r="G556" s="67"/>
      <c r="H556" s="71"/>
      <c r="I556" s="72"/>
      <c r="J556" s="72"/>
      <c r="K556" s="71" t="s">
        <v>1788</v>
      </c>
      <c r="L556" s="75"/>
      <c r="M556" s="76">
        <v>4507.21044921875</v>
      </c>
      <c r="N556" s="76">
        <v>6103.580078125</v>
      </c>
      <c r="O556" s="77"/>
      <c r="P556" s="78"/>
      <c r="Q556" s="78"/>
      <c r="R556" s="82"/>
      <c r="S556" s="82"/>
      <c r="T556" s="82"/>
      <c r="U556" s="82"/>
      <c r="V556" s="52"/>
      <c r="W556" s="52"/>
      <c r="X556" s="52"/>
      <c r="Y556" s="52"/>
      <c r="Z556" s="51"/>
      <c r="AA556" s="73">
        <v>556</v>
      </c>
      <c r="AB556" s="73"/>
      <c r="AC556" s="74"/>
      <c r="AD556" s="80" t="s">
        <v>1788</v>
      </c>
      <c r="AE556" s="80" t="s">
        <v>2750</v>
      </c>
      <c r="AF556" s="80" t="s">
        <v>3513</v>
      </c>
      <c r="AG556" s="80" t="s">
        <v>4238</v>
      </c>
      <c r="AH556" s="80" t="s">
        <v>5109</v>
      </c>
      <c r="AI556" s="80">
        <v>37142</v>
      </c>
      <c r="AJ556" s="80">
        <v>0</v>
      </c>
      <c r="AK556" s="80">
        <v>250</v>
      </c>
      <c r="AL556" s="80">
        <v>11</v>
      </c>
      <c r="AM556" s="80" t="s">
        <v>5614</v>
      </c>
      <c r="AN556" s="102" t="str">
        <f>HYPERLINK("https://www.youtube.com/watch?v=ERag1oSE6O8")</f>
        <v>https://www.youtube.com/watch?v=ERag1oSE6O8</v>
      </c>
      <c r="AO556" s="2"/>
      <c r="AP556" s="3"/>
      <c r="AQ556" s="3"/>
      <c r="AR556" s="3"/>
      <c r="AS556" s="3"/>
    </row>
    <row r="557" spans="1:45" ht="15">
      <c r="A557" s="66" t="s">
        <v>737</v>
      </c>
      <c r="B557" s="67"/>
      <c r="C557" s="67"/>
      <c r="D557" s="68"/>
      <c r="E557" s="70"/>
      <c r="F557" s="100" t="str">
        <f>HYPERLINK("https://i.ytimg.com/vi/8o96ey4jCgE/default.jpg")</f>
        <v>https://i.ytimg.com/vi/8o96ey4jCgE/default.jpg</v>
      </c>
      <c r="G557" s="67"/>
      <c r="H557" s="71"/>
      <c r="I557" s="72"/>
      <c r="J557" s="72"/>
      <c r="K557" s="71" t="s">
        <v>1789</v>
      </c>
      <c r="L557" s="75"/>
      <c r="M557" s="76">
        <v>4073.834716796875</v>
      </c>
      <c r="N557" s="76">
        <v>6096.98974609375</v>
      </c>
      <c r="O557" s="77"/>
      <c r="P557" s="78"/>
      <c r="Q557" s="78"/>
      <c r="R557" s="82"/>
      <c r="S557" s="82"/>
      <c r="T557" s="82"/>
      <c r="U557" s="82"/>
      <c r="V557" s="52"/>
      <c r="W557" s="52"/>
      <c r="X557" s="52"/>
      <c r="Y557" s="52"/>
      <c r="Z557" s="51"/>
      <c r="AA557" s="73">
        <v>557</v>
      </c>
      <c r="AB557" s="73"/>
      <c r="AC557" s="74"/>
      <c r="AD557" s="80" t="s">
        <v>1789</v>
      </c>
      <c r="AE557" s="80" t="s">
        <v>2751</v>
      </c>
      <c r="AF557" s="80" t="s">
        <v>3514</v>
      </c>
      <c r="AG557" s="80" t="s">
        <v>4239</v>
      </c>
      <c r="AH557" s="80" t="s">
        <v>5110</v>
      </c>
      <c r="AI557" s="80">
        <v>61481</v>
      </c>
      <c r="AJ557" s="80">
        <v>27</v>
      </c>
      <c r="AK557" s="80">
        <v>232</v>
      </c>
      <c r="AL557" s="80">
        <v>28</v>
      </c>
      <c r="AM557" s="80" t="s">
        <v>5614</v>
      </c>
      <c r="AN557" s="102" t="str">
        <f>HYPERLINK("https://www.youtube.com/watch?v=8o96ey4jCgE")</f>
        <v>https://www.youtube.com/watch?v=8o96ey4jCgE</v>
      </c>
      <c r="AO557" s="2"/>
      <c r="AP557" s="3"/>
      <c r="AQ557" s="3"/>
      <c r="AR557" s="3"/>
      <c r="AS557" s="3"/>
    </row>
    <row r="558" spans="1:45" ht="15">
      <c r="A558" s="66" t="s">
        <v>738</v>
      </c>
      <c r="B558" s="67"/>
      <c r="C558" s="67"/>
      <c r="D558" s="68"/>
      <c r="E558" s="70"/>
      <c r="F558" s="100" t="str">
        <f>HYPERLINK("https://i.ytimg.com/vi/0hTA4b6RJ20/default.jpg")</f>
        <v>https://i.ytimg.com/vi/0hTA4b6RJ20/default.jpg</v>
      </c>
      <c r="G558" s="67"/>
      <c r="H558" s="71"/>
      <c r="I558" s="72"/>
      <c r="J558" s="72"/>
      <c r="K558" s="71" t="s">
        <v>1790</v>
      </c>
      <c r="L558" s="75"/>
      <c r="M558" s="76">
        <v>4040.925537109375</v>
      </c>
      <c r="N558" s="76">
        <v>5994.97412109375</v>
      </c>
      <c r="O558" s="77"/>
      <c r="P558" s="78"/>
      <c r="Q558" s="78"/>
      <c r="R558" s="82"/>
      <c r="S558" s="82"/>
      <c r="T558" s="82"/>
      <c r="U558" s="82"/>
      <c r="V558" s="52"/>
      <c r="W558" s="52"/>
      <c r="X558" s="52"/>
      <c r="Y558" s="52"/>
      <c r="Z558" s="51"/>
      <c r="AA558" s="73">
        <v>558</v>
      </c>
      <c r="AB558" s="73"/>
      <c r="AC558" s="74"/>
      <c r="AD558" s="80" t="s">
        <v>1790</v>
      </c>
      <c r="AE558" s="80" t="s">
        <v>2752</v>
      </c>
      <c r="AF558" s="80"/>
      <c r="AG558" s="80" t="s">
        <v>4240</v>
      </c>
      <c r="AH558" s="80" t="s">
        <v>5111</v>
      </c>
      <c r="AI558" s="80">
        <v>46939</v>
      </c>
      <c r="AJ558" s="80">
        <v>26</v>
      </c>
      <c r="AK558" s="80">
        <v>332</v>
      </c>
      <c r="AL558" s="80">
        <v>33</v>
      </c>
      <c r="AM558" s="80" t="s">
        <v>5614</v>
      </c>
      <c r="AN558" s="102" t="str">
        <f>HYPERLINK("https://www.youtube.com/watch?v=0hTA4b6RJ20")</f>
        <v>https://www.youtube.com/watch?v=0hTA4b6RJ20</v>
      </c>
      <c r="AO558" s="2"/>
      <c r="AP558" s="3"/>
      <c r="AQ558" s="3"/>
      <c r="AR558" s="3"/>
      <c r="AS558" s="3"/>
    </row>
    <row r="559" spans="1:45" ht="15">
      <c r="A559" s="66" t="s">
        <v>739</v>
      </c>
      <c r="B559" s="67"/>
      <c r="C559" s="67"/>
      <c r="D559" s="68"/>
      <c r="E559" s="70"/>
      <c r="F559" s="100" t="str">
        <f>HYPERLINK("https://i.ytimg.com/vi/DpYh9vGKT68/default.jpg")</f>
        <v>https://i.ytimg.com/vi/DpYh9vGKT68/default.jpg</v>
      </c>
      <c r="G559" s="67"/>
      <c r="H559" s="71"/>
      <c r="I559" s="72"/>
      <c r="J559" s="72"/>
      <c r="K559" s="71" t="s">
        <v>1791</v>
      </c>
      <c r="L559" s="75"/>
      <c r="M559" s="76">
        <v>4279.03173828125</v>
      </c>
      <c r="N559" s="76">
        <v>6201.65185546875</v>
      </c>
      <c r="O559" s="77"/>
      <c r="P559" s="78"/>
      <c r="Q559" s="78"/>
      <c r="R559" s="82"/>
      <c r="S559" s="82"/>
      <c r="T559" s="82"/>
      <c r="U559" s="82"/>
      <c r="V559" s="52"/>
      <c r="W559" s="52"/>
      <c r="X559" s="52"/>
      <c r="Y559" s="52"/>
      <c r="Z559" s="51"/>
      <c r="AA559" s="73">
        <v>559</v>
      </c>
      <c r="AB559" s="73"/>
      <c r="AC559" s="74"/>
      <c r="AD559" s="80" t="s">
        <v>1791</v>
      </c>
      <c r="AE559" s="80" t="s">
        <v>2753</v>
      </c>
      <c r="AF559" s="80" t="s">
        <v>3515</v>
      </c>
      <c r="AG559" s="80" t="s">
        <v>4241</v>
      </c>
      <c r="AH559" s="80" t="s">
        <v>5112</v>
      </c>
      <c r="AI559" s="80">
        <v>11297</v>
      </c>
      <c r="AJ559" s="80">
        <v>3</v>
      </c>
      <c r="AK559" s="80">
        <v>81</v>
      </c>
      <c r="AL559" s="80">
        <v>5</v>
      </c>
      <c r="AM559" s="80" t="s">
        <v>5614</v>
      </c>
      <c r="AN559" s="102" t="str">
        <f>HYPERLINK("https://www.youtube.com/watch?v=DpYh9vGKT68")</f>
        <v>https://www.youtube.com/watch?v=DpYh9vGKT68</v>
      </c>
      <c r="AO559" s="2"/>
      <c r="AP559" s="3"/>
      <c r="AQ559" s="3"/>
      <c r="AR559" s="3"/>
      <c r="AS559" s="3"/>
    </row>
    <row r="560" spans="1:45" ht="15">
      <c r="A560" s="66" t="s">
        <v>740</v>
      </c>
      <c r="B560" s="67"/>
      <c r="C560" s="67"/>
      <c r="D560" s="68"/>
      <c r="E560" s="70"/>
      <c r="F560" s="100" t="str">
        <f>HYPERLINK("https://i.ytimg.com/vi/i_NlVCSUkKU/default.jpg")</f>
        <v>https://i.ytimg.com/vi/i_NlVCSUkKU/default.jpg</v>
      </c>
      <c r="G560" s="67"/>
      <c r="H560" s="71"/>
      <c r="I560" s="72"/>
      <c r="J560" s="72"/>
      <c r="K560" s="71" t="s">
        <v>1792</v>
      </c>
      <c r="L560" s="75"/>
      <c r="M560" s="76">
        <v>3933.21337890625</v>
      </c>
      <c r="N560" s="76">
        <v>5667.91259765625</v>
      </c>
      <c r="O560" s="77"/>
      <c r="P560" s="78"/>
      <c r="Q560" s="78"/>
      <c r="R560" s="82"/>
      <c r="S560" s="82"/>
      <c r="T560" s="82"/>
      <c r="U560" s="82"/>
      <c r="V560" s="52"/>
      <c r="W560" s="52"/>
      <c r="X560" s="52"/>
      <c r="Y560" s="52"/>
      <c r="Z560" s="51"/>
      <c r="AA560" s="73">
        <v>560</v>
      </c>
      <c r="AB560" s="73"/>
      <c r="AC560" s="74"/>
      <c r="AD560" s="80" t="s">
        <v>1792</v>
      </c>
      <c r="AE560" s="80" t="s">
        <v>2754</v>
      </c>
      <c r="AF560" s="80" t="s">
        <v>3516</v>
      </c>
      <c r="AG560" s="80" t="s">
        <v>4242</v>
      </c>
      <c r="AH560" s="80" t="s">
        <v>5113</v>
      </c>
      <c r="AI560" s="80">
        <v>131863</v>
      </c>
      <c r="AJ560" s="80">
        <v>19</v>
      </c>
      <c r="AK560" s="80">
        <v>634</v>
      </c>
      <c r="AL560" s="80">
        <v>37</v>
      </c>
      <c r="AM560" s="80" t="s">
        <v>5614</v>
      </c>
      <c r="AN560" s="102" t="str">
        <f>HYPERLINK("https://www.youtube.com/watch?v=i_NlVCSUkKU")</f>
        <v>https://www.youtube.com/watch?v=i_NlVCSUkKU</v>
      </c>
      <c r="AO560" s="2"/>
      <c r="AP560" s="3"/>
      <c r="AQ560" s="3"/>
      <c r="AR560" s="3"/>
      <c r="AS560" s="3"/>
    </row>
    <row r="561" spans="1:45" ht="15">
      <c r="A561" s="66" t="s">
        <v>741</v>
      </c>
      <c r="B561" s="67"/>
      <c r="C561" s="67"/>
      <c r="D561" s="68"/>
      <c r="E561" s="70"/>
      <c r="F561" s="100" t="str">
        <f>HYPERLINK("https://i.ytimg.com/vi/EXYeBBpPZAo/default.jpg")</f>
        <v>https://i.ytimg.com/vi/EXYeBBpPZAo/default.jpg</v>
      </c>
      <c r="G561" s="67"/>
      <c r="H561" s="71"/>
      <c r="I561" s="72"/>
      <c r="J561" s="72"/>
      <c r="K561" s="71" t="s">
        <v>1793</v>
      </c>
      <c r="L561" s="75"/>
      <c r="M561" s="76">
        <v>3426.141845703125</v>
      </c>
      <c r="N561" s="76">
        <v>4381.03955078125</v>
      </c>
      <c r="O561" s="77"/>
      <c r="P561" s="78"/>
      <c r="Q561" s="78"/>
      <c r="R561" s="82"/>
      <c r="S561" s="82"/>
      <c r="T561" s="82"/>
      <c r="U561" s="82"/>
      <c r="V561" s="52"/>
      <c r="W561" s="52"/>
      <c r="X561" s="52"/>
      <c r="Y561" s="52"/>
      <c r="Z561" s="51"/>
      <c r="AA561" s="73">
        <v>561</v>
      </c>
      <c r="AB561" s="73"/>
      <c r="AC561" s="74"/>
      <c r="AD561" s="80" t="s">
        <v>1793</v>
      </c>
      <c r="AE561" s="80"/>
      <c r="AF561" s="80"/>
      <c r="AG561" s="80" t="s">
        <v>4153</v>
      </c>
      <c r="AH561" s="80" t="s">
        <v>5114</v>
      </c>
      <c r="AI561" s="80">
        <v>8147</v>
      </c>
      <c r="AJ561" s="80">
        <v>3</v>
      </c>
      <c r="AK561" s="80">
        <v>53</v>
      </c>
      <c r="AL561" s="80">
        <v>6</v>
      </c>
      <c r="AM561" s="80" t="s">
        <v>5614</v>
      </c>
      <c r="AN561" s="102" t="str">
        <f>HYPERLINK("https://www.youtube.com/watch?v=EXYeBBpPZAo")</f>
        <v>https://www.youtube.com/watch?v=EXYeBBpPZAo</v>
      </c>
      <c r="AO561" s="2"/>
      <c r="AP561" s="3"/>
      <c r="AQ561" s="3"/>
      <c r="AR561" s="3"/>
      <c r="AS561" s="3"/>
    </row>
    <row r="562" spans="1:45" ht="15">
      <c r="A562" s="66" t="s">
        <v>742</v>
      </c>
      <c r="B562" s="67"/>
      <c r="C562" s="67"/>
      <c r="D562" s="68"/>
      <c r="E562" s="70"/>
      <c r="F562" s="100" t="str">
        <f>HYPERLINK("https://i.ytimg.com/vi/n6wV71eoD-o/default.jpg")</f>
        <v>https://i.ytimg.com/vi/n6wV71eoD-o/default.jpg</v>
      </c>
      <c r="G562" s="67"/>
      <c r="H562" s="71"/>
      <c r="I562" s="72"/>
      <c r="J562" s="72"/>
      <c r="K562" s="71" t="s">
        <v>1794</v>
      </c>
      <c r="L562" s="75"/>
      <c r="M562" s="76">
        <v>6357.7919921875</v>
      </c>
      <c r="N562" s="76">
        <v>5765.8408203125</v>
      </c>
      <c r="O562" s="77"/>
      <c r="P562" s="78"/>
      <c r="Q562" s="78"/>
      <c r="R562" s="82"/>
      <c r="S562" s="82"/>
      <c r="T562" s="82"/>
      <c r="U562" s="82"/>
      <c r="V562" s="52"/>
      <c r="W562" s="52"/>
      <c r="X562" s="52"/>
      <c r="Y562" s="52"/>
      <c r="Z562" s="51"/>
      <c r="AA562" s="73">
        <v>562</v>
      </c>
      <c r="AB562" s="73"/>
      <c r="AC562" s="74"/>
      <c r="AD562" s="80" t="s">
        <v>1794</v>
      </c>
      <c r="AE562" s="80" t="s">
        <v>2755</v>
      </c>
      <c r="AF562" s="80" t="s">
        <v>3517</v>
      </c>
      <c r="AG562" s="80" t="s">
        <v>4243</v>
      </c>
      <c r="AH562" s="80" t="s">
        <v>5115</v>
      </c>
      <c r="AI562" s="80">
        <v>59062</v>
      </c>
      <c r="AJ562" s="80">
        <v>154</v>
      </c>
      <c r="AK562" s="80">
        <v>666</v>
      </c>
      <c r="AL562" s="80">
        <v>23</v>
      </c>
      <c r="AM562" s="80" t="s">
        <v>5614</v>
      </c>
      <c r="AN562" s="102" t="str">
        <f>HYPERLINK("https://www.youtube.com/watch?v=n6wV71eoD-o")</f>
        <v>https://www.youtube.com/watch?v=n6wV71eoD-o</v>
      </c>
      <c r="AO562" s="2"/>
      <c r="AP562" s="3"/>
      <c r="AQ562" s="3"/>
      <c r="AR562" s="3"/>
      <c r="AS562" s="3"/>
    </row>
    <row r="563" spans="1:45" ht="15">
      <c r="A563" s="66" t="s">
        <v>219</v>
      </c>
      <c r="B563" s="67"/>
      <c r="C563" s="67"/>
      <c r="D563" s="68"/>
      <c r="E563" s="70"/>
      <c r="F563" s="100" t="str">
        <f>HYPERLINK("https://i.ytimg.com/vi/CJ0LPxAfbjs/default.jpg")</f>
        <v>https://i.ytimg.com/vi/CJ0LPxAfbjs/default.jpg</v>
      </c>
      <c r="G563" s="67"/>
      <c r="H563" s="71"/>
      <c r="I563" s="72"/>
      <c r="J563" s="72"/>
      <c r="K563" s="71" t="s">
        <v>1795</v>
      </c>
      <c r="L563" s="75"/>
      <c r="M563" s="76">
        <v>6076.1279296875</v>
      </c>
      <c r="N563" s="76">
        <v>4345.6796875</v>
      </c>
      <c r="O563" s="77"/>
      <c r="P563" s="78"/>
      <c r="Q563" s="78"/>
      <c r="R563" s="82"/>
      <c r="S563" s="82"/>
      <c r="T563" s="82"/>
      <c r="U563" s="82"/>
      <c r="V563" s="52"/>
      <c r="W563" s="52"/>
      <c r="X563" s="52"/>
      <c r="Y563" s="52"/>
      <c r="Z563" s="51"/>
      <c r="AA563" s="73">
        <v>563</v>
      </c>
      <c r="AB563" s="73"/>
      <c r="AC563" s="74"/>
      <c r="AD563" s="80" t="s">
        <v>1795</v>
      </c>
      <c r="AE563" s="80" t="s">
        <v>2476</v>
      </c>
      <c r="AF563" s="80" t="s">
        <v>3518</v>
      </c>
      <c r="AG563" s="80" t="s">
        <v>4244</v>
      </c>
      <c r="AH563" s="80" t="s">
        <v>5116</v>
      </c>
      <c r="AI563" s="80">
        <v>425</v>
      </c>
      <c r="AJ563" s="80">
        <v>0</v>
      </c>
      <c r="AK563" s="80">
        <v>4</v>
      </c>
      <c r="AL563" s="80">
        <v>0</v>
      </c>
      <c r="AM563" s="80" t="s">
        <v>5614</v>
      </c>
      <c r="AN563" s="102" t="str">
        <f>HYPERLINK("https://www.youtube.com/watch?v=CJ0LPxAfbjs")</f>
        <v>https://www.youtube.com/watch?v=CJ0LPxAfbjs</v>
      </c>
      <c r="AO563" s="2"/>
      <c r="AP563" s="3"/>
      <c r="AQ563" s="3"/>
      <c r="AR563" s="3"/>
      <c r="AS563" s="3"/>
    </row>
    <row r="564" spans="1:45" ht="15">
      <c r="A564" s="66" t="s">
        <v>743</v>
      </c>
      <c r="B564" s="67"/>
      <c r="C564" s="67"/>
      <c r="D564" s="68"/>
      <c r="E564" s="70"/>
      <c r="F564" s="100" t="str">
        <f>HYPERLINK("https://i.ytimg.com/vi/tpGs0Gjbtnc/default.jpg")</f>
        <v>https://i.ytimg.com/vi/tpGs0Gjbtnc/default.jpg</v>
      </c>
      <c r="G564" s="67"/>
      <c r="H564" s="71"/>
      <c r="I564" s="72"/>
      <c r="J564" s="72"/>
      <c r="K564" s="71" t="s">
        <v>1796</v>
      </c>
      <c r="L564" s="75"/>
      <c r="M564" s="76">
        <v>6293.0537109375</v>
      </c>
      <c r="N564" s="76">
        <v>5776.78466796875</v>
      </c>
      <c r="O564" s="77"/>
      <c r="P564" s="78"/>
      <c r="Q564" s="78"/>
      <c r="R564" s="82"/>
      <c r="S564" s="82"/>
      <c r="T564" s="82"/>
      <c r="U564" s="82"/>
      <c r="V564" s="52"/>
      <c r="W564" s="52"/>
      <c r="X564" s="52"/>
      <c r="Y564" s="52"/>
      <c r="Z564" s="51"/>
      <c r="AA564" s="73">
        <v>564</v>
      </c>
      <c r="AB564" s="73"/>
      <c r="AC564" s="74"/>
      <c r="AD564" s="80" t="s">
        <v>1796</v>
      </c>
      <c r="AE564" s="80" t="s">
        <v>2756</v>
      </c>
      <c r="AF564" s="80" t="s">
        <v>3519</v>
      </c>
      <c r="AG564" s="80" t="s">
        <v>4245</v>
      </c>
      <c r="AH564" s="80" t="s">
        <v>5117</v>
      </c>
      <c r="AI564" s="80">
        <v>1070626</v>
      </c>
      <c r="AJ564" s="80">
        <v>512</v>
      </c>
      <c r="AK564" s="80">
        <v>36364</v>
      </c>
      <c r="AL564" s="80">
        <v>1108</v>
      </c>
      <c r="AM564" s="80" t="s">
        <v>5614</v>
      </c>
      <c r="AN564" s="102" t="str">
        <f>HYPERLINK("https://www.youtube.com/watch?v=tpGs0Gjbtnc")</f>
        <v>https://www.youtube.com/watch?v=tpGs0Gjbtnc</v>
      </c>
      <c r="AO564" s="2"/>
      <c r="AP564" s="3"/>
      <c r="AQ564" s="3"/>
      <c r="AR564" s="3"/>
      <c r="AS564" s="3"/>
    </row>
    <row r="565" spans="1:45" ht="15">
      <c r="A565" s="66" t="s">
        <v>744</v>
      </c>
      <c r="B565" s="67"/>
      <c r="C565" s="67"/>
      <c r="D565" s="68"/>
      <c r="E565" s="70"/>
      <c r="F565" s="100" t="str">
        <f>HYPERLINK("https://i.ytimg.com/vi/bJarV4vGqJk/default.jpg")</f>
        <v>https://i.ytimg.com/vi/bJarV4vGqJk/default.jpg</v>
      </c>
      <c r="G565" s="67"/>
      <c r="H565" s="71"/>
      <c r="I565" s="72"/>
      <c r="J565" s="72"/>
      <c r="K565" s="71" t="s">
        <v>1797</v>
      </c>
      <c r="L565" s="75"/>
      <c r="M565" s="76">
        <v>6160.69873046875</v>
      </c>
      <c r="N565" s="76">
        <v>5237.75537109375</v>
      </c>
      <c r="O565" s="77"/>
      <c r="P565" s="78"/>
      <c r="Q565" s="78"/>
      <c r="R565" s="82"/>
      <c r="S565" s="82"/>
      <c r="T565" s="82"/>
      <c r="U565" s="82"/>
      <c r="V565" s="52"/>
      <c r="W565" s="52"/>
      <c r="X565" s="52"/>
      <c r="Y565" s="52"/>
      <c r="Z565" s="51"/>
      <c r="AA565" s="73">
        <v>565</v>
      </c>
      <c r="AB565" s="73"/>
      <c r="AC565" s="74"/>
      <c r="AD565" s="80" t="s">
        <v>1797</v>
      </c>
      <c r="AE565" s="80" t="s">
        <v>2757</v>
      </c>
      <c r="AF565" s="80" t="s">
        <v>3520</v>
      </c>
      <c r="AG565" s="80" t="s">
        <v>4246</v>
      </c>
      <c r="AH565" s="80" t="s">
        <v>5118</v>
      </c>
      <c r="AI565" s="80">
        <v>89635</v>
      </c>
      <c r="AJ565" s="80">
        <v>54</v>
      </c>
      <c r="AK565" s="80">
        <v>2059</v>
      </c>
      <c r="AL565" s="80">
        <v>45</v>
      </c>
      <c r="AM565" s="80" t="s">
        <v>5614</v>
      </c>
      <c r="AN565" s="102" t="str">
        <f>HYPERLINK("https://www.youtube.com/watch?v=bJarV4vGqJk")</f>
        <v>https://www.youtube.com/watch?v=bJarV4vGqJk</v>
      </c>
      <c r="AO565" s="2"/>
      <c r="AP565" s="3"/>
      <c r="AQ565" s="3"/>
      <c r="AR565" s="3"/>
      <c r="AS565" s="3"/>
    </row>
    <row r="566" spans="1:45" ht="15">
      <c r="A566" s="66" t="s">
        <v>745</v>
      </c>
      <c r="B566" s="67"/>
      <c r="C566" s="67"/>
      <c r="D566" s="68"/>
      <c r="E566" s="70"/>
      <c r="F566" s="100" t="str">
        <f>HYPERLINK("https://i.ytimg.com/vi/jVKf00r_CMw/default.jpg")</f>
        <v>https://i.ytimg.com/vi/jVKf00r_CMw/default.jpg</v>
      </c>
      <c r="G566" s="67"/>
      <c r="H566" s="71"/>
      <c r="I566" s="72"/>
      <c r="J566" s="72"/>
      <c r="K566" s="71" t="s">
        <v>1798</v>
      </c>
      <c r="L566" s="75"/>
      <c r="M566" s="76">
        <v>4137.89453125</v>
      </c>
      <c r="N566" s="76">
        <v>3636.93359375</v>
      </c>
      <c r="O566" s="77"/>
      <c r="P566" s="78"/>
      <c r="Q566" s="78"/>
      <c r="R566" s="82"/>
      <c r="S566" s="82"/>
      <c r="T566" s="82"/>
      <c r="U566" s="82"/>
      <c r="V566" s="52"/>
      <c r="W566" s="52"/>
      <c r="X566" s="52"/>
      <c r="Y566" s="52"/>
      <c r="Z566" s="51"/>
      <c r="AA566" s="73">
        <v>566</v>
      </c>
      <c r="AB566" s="73"/>
      <c r="AC566" s="74"/>
      <c r="AD566" s="80" t="s">
        <v>1798</v>
      </c>
      <c r="AE566" s="80" t="s">
        <v>2758</v>
      </c>
      <c r="AF566" s="80" t="s">
        <v>3521</v>
      </c>
      <c r="AG566" s="80" t="s">
        <v>4247</v>
      </c>
      <c r="AH566" s="80" t="s">
        <v>5119</v>
      </c>
      <c r="AI566" s="80">
        <v>78501</v>
      </c>
      <c r="AJ566" s="80">
        <v>18</v>
      </c>
      <c r="AK566" s="80">
        <v>388</v>
      </c>
      <c r="AL566" s="80">
        <v>20</v>
      </c>
      <c r="AM566" s="80" t="s">
        <v>5614</v>
      </c>
      <c r="AN566" s="102" t="str">
        <f>HYPERLINK("https://www.youtube.com/watch?v=jVKf00r_CMw")</f>
        <v>https://www.youtube.com/watch?v=jVKf00r_CMw</v>
      </c>
      <c r="AO566" s="2"/>
      <c r="AP566" s="3"/>
      <c r="AQ566" s="3"/>
      <c r="AR566" s="3"/>
      <c r="AS566" s="3"/>
    </row>
    <row r="567" spans="1:45" ht="15">
      <c r="A567" s="66" t="s">
        <v>746</v>
      </c>
      <c r="B567" s="67"/>
      <c r="C567" s="67"/>
      <c r="D567" s="68"/>
      <c r="E567" s="70"/>
      <c r="F567" s="100" t="str">
        <f>HYPERLINK("https://i.ytimg.com/vi/Z1-nSzQp-ZM/default.jpg")</f>
        <v>https://i.ytimg.com/vi/Z1-nSzQp-ZM/default.jpg</v>
      </c>
      <c r="G567" s="67"/>
      <c r="H567" s="71"/>
      <c r="I567" s="72"/>
      <c r="J567" s="72"/>
      <c r="K567" s="71" t="s">
        <v>1799</v>
      </c>
      <c r="L567" s="75"/>
      <c r="M567" s="76">
        <v>3520.41796875</v>
      </c>
      <c r="N567" s="76">
        <v>7041.22412109375</v>
      </c>
      <c r="O567" s="77"/>
      <c r="P567" s="78"/>
      <c r="Q567" s="78"/>
      <c r="R567" s="82"/>
      <c r="S567" s="82"/>
      <c r="T567" s="82"/>
      <c r="U567" s="82"/>
      <c r="V567" s="52"/>
      <c r="W567" s="52"/>
      <c r="X567" s="52"/>
      <c r="Y567" s="52"/>
      <c r="Z567" s="51"/>
      <c r="AA567" s="73">
        <v>567</v>
      </c>
      <c r="AB567" s="73"/>
      <c r="AC567" s="74"/>
      <c r="AD567" s="80" t="s">
        <v>1799</v>
      </c>
      <c r="AE567" s="80" t="s">
        <v>2759</v>
      </c>
      <c r="AF567" s="80"/>
      <c r="AG567" s="80" t="s">
        <v>4248</v>
      </c>
      <c r="AH567" s="80" t="s">
        <v>5120</v>
      </c>
      <c r="AI567" s="80">
        <v>271128</v>
      </c>
      <c r="AJ567" s="80">
        <v>14</v>
      </c>
      <c r="AK567" s="80">
        <v>1463</v>
      </c>
      <c r="AL567" s="80">
        <v>77</v>
      </c>
      <c r="AM567" s="80" t="s">
        <v>5614</v>
      </c>
      <c r="AN567" s="102" t="str">
        <f>HYPERLINK("https://www.youtube.com/watch?v=Z1-nSzQp-ZM")</f>
        <v>https://www.youtube.com/watch?v=Z1-nSzQp-ZM</v>
      </c>
      <c r="AO567" s="2"/>
      <c r="AP567" s="3"/>
      <c r="AQ567" s="3"/>
      <c r="AR567" s="3"/>
      <c r="AS567" s="3"/>
    </row>
    <row r="568" spans="1:45" ht="15">
      <c r="A568" s="66" t="s">
        <v>747</v>
      </c>
      <c r="B568" s="67"/>
      <c r="C568" s="67"/>
      <c r="D568" s="68"/>
      <c r="E568" s="70"/>
      <c r="F568" s="100" t="str">
        <f>HYPERLINK("https://i.ytimg.com/vi/8WQVb_nuKvs/default.jpg")</f>
        <v>https://i.ytimg.com/vi/8WQVb_nuKvs/default.jpg</v>
      </c>
      <c r="G568" s="67"/>
      <c r="H568" s="71"/>
      <c r="I568" s="72"/>
      <c r="J568" s="72"/>
      <c r="K568" s="71" t="s">
        <v>1800</v>
      </c>
      <c r="L568" s="75"/>
      <c r="M568" s="76">
        <v>6345.2470703125</v>
      </c>
      <c r="N568" s="76">
        <v>7018.6904296875</v>
      </c>
      <c r="O568" s="77"/>
      <c r="P568" s="78"/>
      <c r="Q568" s="78"/>
      <c r="R568" s="82"/>
      <c r="S568" s="82"/>
      <c r="T568" s="82"/>
      <c r="U568" s="82"/>
      <c r="V568" s="52"/>
      <c r="W568" s="52"/>
      <c r="X568" s="52"/>
      <c r="Y568" s="52"/>
      <c r="Z568" s="51"/>
      <c r="AA568" s="73">
        <v>568</v>
      </c>
      <c r="AB568" s="73"/>
      <c r="AC568" s="74"/>
      <c r="AD568" s="80" t="s">
        <v>1800</v>
      </c>
      <c r="AE568" s="80" t="s">
        <v>2760</v>
      </c>
      <c r="AF568" s="80" t="s">
        <v>3522</v>
      </c>
      <c r="AG568" s="80" t="s">
        <v>4249</v>
      </c>
      <c r="AH568" s="80" t="s">
        <v>5121</v>
      </c>
      <c r="AI568" s="80">
        <v>65049369</v>
      </c>
      <c r="AJ568" s="80">
        <v>6768</v>
      </c>
      <c r="AK568" s="80">
        <v>226210</v>
      </c>
      <c r="AL568" s="80">
        <v>11018</v>
      </c>
      <c r="AM568" s="80" t="s">
        <v>5614</v>
      </c>
      <c r="AN568" s="102" t="str">
        <f>HYPERLINK("https://www.youtube.com/watch?v=8WQVb_nuKvs")</f>
        <v>https://www.youtube.com/watch?v=8WQVb_nuKvs</v>
      </c>
      <c r="AO568" s="2"/>
      <c r="AP568" s="3"/>
      <c r="AQ568" s="3"/>
      <c r="AR568" s="3"/>
      <c r="AS568" s="3"/>
    </row>
    <row r="569" spans="1:45" ht="15">
      <c r="A569" s="66" t="s">
        <v>748</v>
      </c>
      <c r="B569" s="67"/>
      <c r="C569" s="67"/>
      <c r="D569" s="68"/>
      <c r="E569" s="70"/>
      <c r="F569" s="100" t="str">
        <f>HYPERLINK("https://i.ytimg.com/vi/ZbACeD1WeZE/default.jpg")</f>
        <v>https://i.ytimg.com/vi/ZbACeD1WeZE/default.jpg</v>
      </c>
      <c r="G569" s="67"/>
      <c r="H569" s="71"/>
      <c r="I569" s="72"/>
      <c r="J569" s="72"/>
      <c r="K569" s="71" t="s">
        <v>1801</v>
      </c>
      <c r="L569" s="75"/>
      <c r="M569" s="76">
        <v>6451.4599609375</v>
      </c>
      <c r="N569" s="76">
        <v>7049.9775390625</v>
      </c>
      <c r="O569" s="77"/>
      <c r="P569" s="78"/>
      <c r="Q569" s="78"/>
      <c r="R569" s="82"/>
      <c r="S569" s="82"/>
      <c r="T569" s="82"/>
      <c r="U569" s="82"/>
      <c r="V569" s="52"/>
      <c r="W569" s="52"/>
      <c r="X569" s="52"/>
      <c r="Y569" s="52"/>
      <c r="Z569" s="51"/>
      <c r="AA569" s="73">
        <v>569</v>
      </c>
      <c r="AB569" s="73"/>
      <c r="AC569" s="74"/>
      <c r="AD569" s="80" t="s">
        <v>1801</v>
      </c>
      <c r="AE569" s="80" t="s">
        <v>2761</v>
      </c>
      <c r="AF569" s="80"/>
      <c r="AG569" s="80" t="s">
        <v>4250</v>
      </c>
      <c r="AH569" s="80" t="s">
        <v>5122</v>
      </c>
      <c r="AI569" s="80">
        <v>609</v>
      </c>
      <c r="AJ569" s="80">
        <v>0</v>
      </c>
      <c r="AK569" s="80">
        <v>8</v>
      </c>
      <c r="AL569" s="80">
        <v>1</v>
      </c>
      <c r="AM569" s="80" t="s">
        <v>5614</v>
      </c>
      <c r="AN569" s="102" t="str">
        <f>HYPERLINK("https://www.youtube.com/watch?v=ZbACeD1WeZE")</f>
        <v>https://www.youtube.com/watch?v=ZbACeD1WeZE</v>
      </c>
      <c r="AO569" s="2"/>
      <c r="AP569" s="3"/>
      <c r="AQ569" s="3"/>
      <c r="AR569" s="3"/>
      <c r="AS569" s="3"/>
    </row>
    <row r="570" spans="1:45" ht="15">
      <c r="A570" s="66" t="s">
        <v>749</v>
      </c>
      <c r="B570" s="67"/>
      <c r="C570" s="67"/>
      <c r="D570" s="68"/>
      <c r="E570" s="70"/>
      <c r="F570" s="100" t="str">
        <f>HYPERLINK("https://i.ytimg.com/vi/v6vsnqD09BI/default.jpg")</f>
        <v>https://i.ytimg.com/vi/v6vsnqD09BI/default.jpg</v>
      </c>
      <c r="G570" s="67"/>
      <c r="H570" s="71"/>
      <c r="I570" s="72"/>
      <c r="J570" s="72"/>
      <c r="K570" s="71" t="s">
        <v>1802</v>
      </c>
      <c r="L570" s="75"/>
      <c r="M570" s="76">
        <v>5483.87646484375</v>
      </c>
      <c r="N570" s="76">
        <v>7091.2236328125</v>
      </c>
      <c r="O570" s="77"/>
      <c r="P570" s="78"/>
      <c r="Q570" s="78"/>
      <c r="R570" s="82"/>
      <c r="S570" s="82"/>
      <c r="T570" s="82"/>
      <c r="U570" s="82"/>
      <c r="V570" s="52"/>
      <c r="W570" s="52"/>
      <c r="X570" s="52"/>
      <c r="Y570" s="52"/>
      <c r="Z570" s="51"/>
      <c r="AA570" s="73">
        <v>570</v>
      </c>
      <c r="AB570" s="73"/>
      <c r="AC570" s="74"/>
      <c r="AD570" s="80" t="s">
        <v>1802</v>
      </c>
      <c r="AE570" s="80"/>
      <c r="AF570" s="80"/>
      <c r="AG570" s="80" t="s">
        <v>4251</v>
      </c>
      <c r="AH570" s="80" t="s">
        <v>5123</v>
      </c>
      <c r="AI570" s="80">
        <v>46</v>
      </c>
      <c r="AJ570" s="80">
        <v>0</v>
      </c>
      <c r="AK570" s="80">
        <v>0</v>
      </c>
      <c r="AL570" s="80">
        <v>0</v>
      </c>
      <c r="AM570" s="80" t="s">
        <v>5614</v>
      </c>
      <c r="AN570" s="102" t="str">
        <f>HYPERLINK("https://www.youtube.com/watch?v=v6vsnqD09BI")</f>
        <v>https://www.youtube.com/watch?v=v6vsnqD09BI</v>
      </c>
      <c r="AO570" s="2"/>
      <c r="AP570" s="3"/>
      <c r="AQ570" s="3"/>
      <c r="AR570" s="3"/>
      <c r="AS570" s="3"/>
    </row>
    <row r="571" spans="1:45" ht="15">
      <c r="A571" s="66" t="s">
        <v>750</v>
      </c>
      <c r="B571" s="67"/>
      <c r="C571" s="67"/>
      <c r="D571" s="68"/>
      <c r="E571" s="70"/>
      <c r="F571" s="100" t="str">
        <f>HYPERLINK("https://i.ytimg.com/vi/5ibMg3GBy6U/default.jpg")</f>
        <v>https://i.ytimg.com/vi/5ibMg3GBy6U/default.jpg</v>
      </c>
      <c r="G571" s="67"/>
      <c r="H571" s="71"/>
      <c r="I571" s="72"/>
      <c r="J571" s="72"/>
      <c r="K571" s="71" t="s">
        <v>1803</v>
      </c>
      <c r="L571" s="75"/>
      <c r="M571" s="76">
        <v>5409.43896484375</v>
      </c>
      <c r="N571" s="76">
        <v>7117.80078125</v>
      </c>
      <c r="O571" s="77"/>
      <c r="P571" s="78"/>
      <c r="Q571" s="78"/>
      <c r="R571" s="82"/>
      <c r="S571" s="82"/>
      <c r="T571" s="82"/>
      <c r="U571" s="82"/>
      <c r="V571" s="52"/>
      <c r="W571" s="52"/>
      <c r="X571" s="52"/>
      <c r="Y571" s="52"/>
      <c r="Z571" s="51"/>
      <c r="AA571" s="73">
        <v>571</v>
      </c>
      <c r="AB571" s="73"/>
      <c r="AC571" s="74"/>
      <c r="AD571" s="80" t="s">
        <v>1803</v>
      </c>
      <c r="AE571" s="80" t="s">
        <v>2762</v>
      </c>
      <c r="AF571" s="80" t="s">
        <v>3523</v>
      </c>
      <c r="AG571" s="80" t="s">
        <v>4252</v>
      </c>
      <c r="AH571" s="80" t="s">
        <v>5124</v>
      </c>
      <c r="AI571" s="80">
        <v>25178</v>
      </c>
      <c r="AJ571" s="80">
        <v>4</v>
      </c>
      <c r="AK571" s="80">
        <v>77</v>
      </c>
      <c r="AL571" s="80">
        <v>5</v>
      </c>
      <c r="AM571" s="80" t="s">
        <v>5614</v>
      </c>
      <c r="AN571" s="102" t="str">
        <f>HYPERLINK("https://www.youtube.com/watch?v=5ibMg3GBy6U")</f>
        <v>https://www.youtube.com/watch?v=5ibMg3GBy6U</v>
      </c>
      <c r="AO571" s="2"/>
      <c r="AP571" s="3"/>
      <c r="AQ571" s="3"/>
      <c r="AR571" s="3"/>
      <c r="AS571" s="3"/>
    </row>
    <row r="572" spans="1:45" ht="15">
      <c r="A572" s="66" t="s">
        <v>751</v>
      </c>
      <c r="B572" s="67"/>
      <c r="C572" s="67"/>
      <c r="D572" s="68"/>
      <c r="E572" s="70"/>
      <c r="F572" s="100" t="str">
        <f>HYPERLINK("https://i.ytimg.com/vi/Ev51bYqyd8w/default.jpg")</f>
        <v>https://i.ytimg.com/vi/Ev51bYqyd8w/default.jpg</v>
      </c>
      <c r="G572" s="67"/>
      <c r="H572" s="71"/>
      <c r="I572" s="72"/>
      <c r="J572" s="72"/>
      <c r="K572" s="71" t="s">
        <v>1804</v>
      </c>
      <c r="L572" s="75"/>
      <c r="M572" s="76">
        <v>6611.5341796875</v>
      </c>
      <c r="N572" s="76">
        <v>7044.70849609375</v>
      </c>
      <c r="O572" s="77"/>
      <c r="P572" s="78"/>
      <c r="Q572" s="78"/>
      <c r="R572" s="82"/>
      <c r="S572" s="82"/>
      <c r="T572" s="82"/>
      <c r="U572" s="82"/>
      <c r="V572" s="52"/>
      <c r="W572" s="52"/>
      <c r="X572" s="52"/>
      <c r="Y572" s="52"/>
      <c r="Z572" s="51"/>
      <c r="AA572" s="73">
        <v>572</v>
      </c>
      <c r="AB572" s="73"/>
      <c r="AC572" s="74"/>
      <c r="AD572" s="80" t="s">
        <v>1804</v>
      </c>
      <c r="AE572" s="80" t="s">
        <v>2763</v>
      </c>
      <c r="AF572" s="80"/>
      <c r="AG572" s="80" t="s">
        <v>4253</v>
      </c>
      <c r="AH572" s="80" t="s">
        <v>5125</v>
      </c>
      <c r="AI572" s="80">
        <v>254</v>
      </c>
      <c r="AJ572" s="80">
        <v>0</v>
      </c>
      <c r="AK572" s="80">
        <v>2</v>
      </c>
      <c r="AL572" s="80">
        <v>0</v>
      </c>
      <c r="AM572" s="80" t="s">
        <v>5614</v>
      </c>
      <c r="AN572" s="102" t="str">
        <f>HYPERLINK("https://www.youtube.com/watch?v=Ev51bYqyd8w")</f>
        <v>https://www.youtube.com/watch?v=Ev51bYqyd8w</v>
      </c>
      <c r="AO572" s="2"/>
      <c r="AP572" s="3"/>
      <c r="AQ572" s="3"/>
      <c r="AR572" s="3"/>
      <c r="AS572" s="3"/>
    </row>
    <row r="573" spans="1:45" ht="15">
      <c r="A573" s="66" t="s">
        <v>752</v>
      </c>
      <c r="B573" s="67"/>
      <c r="C573" s="67"/>
      <c r="D573" s="68"/>
      <c r="E573" s="70"/>
      <c r="F573" s="100" t="str">
        <f>HYPERLINK("https://i.ytimg.com/vi/s0RnDgWAumI/default.jpg")</f>
        <v>https://i.ytimg.com/vi/s0RnDgWAumI/default.jpg</v>
      </c>
      <c r="G573" s="67"/>
      <c r="H573" s="71"/>
      <c r="I573" s="72"/>
      <c r="J573" s="72"/>
      <c r="K573" s="71" t="s">
        <v>1805</v>
      </c>
      <c r="L573" s="75"/>
      <c r="M573" s="76">
        <v>5825.82177734375</v>
      </c>
      <c r="N573" s="76">
        <v>7144.2685546875</v>
      </c>
      <c r="O573" s="77"/>
      <c r="P573" s="78"/>
      <c r="Q573" s="78"/>
      <c r="R573" s="82"/>
      <c r="S573" s="82"/>
      <c r="T573" s="82"/>
      <c r="U573" s="82"/>
      <c r="V573" s="52"/>
      <c r="W573" s="52"/>
      <c r="X573" s="52"/>
      <c r="Y573" s="52"/>
      <c r="Z573" s="51"/>
      <c r="AA573" s="73">
        <v>573</v>
      </c>
      <c r="AB573" s="73"/>
      <c r="AC573" s="74"/>
      <c r="AD573" s="80" t="s">
        <v>1805</v>
      </c>
      <c r="AE573" s="80" t="s">
        <v>2764</v>
      </c>
      <c r="AF573" s="80"/>
      <c r="AG573" s="80" t="s">
        <v>4094</v>
      </c>
      <c r="AH573" s="80" t="s">
        <v>5126</v>
      </c>
      <c r="AI573" s="80">
        <v>141933</v>
      </c>
      <c r="AJ573" s="80">
        <v>167</v>
      </c>
      <c r="AK573" s="80">
        <v>874</v>
      </c>
      <c r="AL573" s="80">
        <v>189</v>
      </c>
      <c r="AM573" s="80" t="s">
        <v>5614</v>
      </c>
      <c r="AN573" s="102" t="str">
        <f>HYPERLINK("https://www.youtube.com/watch?v=s0RnDgWAumI")</f>
        <v>https://www.youtube.com/watch?v=s0RnDgWAumI</v>
      </c>
      <c r="AO573" s="2"/>
      <c r="AP573" s="3"/>
      <c r="AQ573" s="3"/>
      <c r="AR573" s="3"/>
      <c r="AS573" s="3"/>
    </row>
    <row r="574" spans="1:45" ht="15">
      <c r="A574" s="66" t="s">
        <v>753</v>
      </c>
      <c r="B574" s="67"/>
      <c r="C574" s="67"/>
      <c r="D574" s="68"/>
      <c r="E574" s="70"/>
      <c r="F574" s="100" t="str">
        <f>HYPERLINK("https://i.ytimg.com/vi/t6TlN6xtE2A/default.jpg")</f>
        <v>https://i.ytimg.com/vi/t6TlN6xtE2A/default.jpg</v>
      </c>
      <c r="G574" s="67"/>
      <c r="H574" s="71"/>
      <c r="I574" s="72"/>
      <c r="J574" s="72"/>
      <c r="K574" s="71" t="s">
        <v>1806</v>
      </c>
      <c r="L574" s="75"/>
      <c r="M574" s="76">
        <v>5455.966796875</v>
      </c>
      <c r="N574" s="76">
        <v>7115.9912109375</v>
      </c>
      <c r="O574" s="77"/>
      <c r="P574" s="78"/>
      <c r="Q574" s="78"/>
      <c r="R574" s="82"/>
      <c r="S574" s="82"/>
      <c r="T574" s="82"/>
      <c r="U574" s="82"/>
      <c r="V574" s="52"/>
      <c r="W574" s="52"/>
      <c r="X574" s="52"/>
      <c r="Y574" s="52"/>
      <c r="Z574" s="51"/>
      <c r="AA574" s="73">
        <v>574</v>
      </c>
      <c r="AB574" s="73"/>
      <c r="AC574" s="74"/>
      <c r="AD574" s="80" t="s">
        <v>1806</v>
      </c>
      <c r="AE574" s="80" t="s">
        <v>2765</v>
      </c>
      <c r="AF574" s="80" t="s">
        <v>3524</v>
      </c>
      <c r="AG574" s="80" t="s">
        <v>4254</v>
      </c>
      <c r="AH574" s="80" t="s">
        <v>5127</v>
      </c>
      <c r="AI574" s="80">
        <v>1179</v>
      </c>
      <c r="AJ574" s="80">
        <v>17</v>
      </c>
      <c r="AK574" s="80">
        <v>75</v>
      </c>
      <c r="AL574" s="80">
        <v>0</v>
      </c>
      <c r="AM574" s="80" t="s">
        <v>5614</v>
      </c>
      <c r="AN574" s="102" t="str">
        <f>HYPERLINK("https://www.youtube.com/watch?v=t6TlN6xtE2A")</f>
        <v>https://www.youtube.com/watch?v=t6TlN6xtE2A</v>
      </c>
      <c r="AO574" s="2"/>
      <c r="AP574" s="3"/>
      <c r="AQ574" s="3"/>
      <c r="AR574" s="3"/>
      <c r="AS574" s="3"/>
    </row>
    <row r="575" spans="1:45" ht="15">
      <c r="A575" s="66" t="s">
        <v>754</v>
      </c>
      <c r="B575" s="67"/>
      <c r="C575" s="67"/>
      <c r="D575" s="68"/>
      <c r="E575" s="70"/>
      <c r="F575" s="100" t="str">
        <f>HYPERLINK("https://i.ytimg.com/vi/MRFboPotot4/default.jpg")</f>
        <v>https://i.ytimg.com/vi/MRFboPotot4/default.jpg</v>
      </c>
      <c r="G575" s="67"/>
      <c r="H575" s="71"/>
      <c r="I575" s="72"/>
      <c r="J575" s="72"/>
      <c r="K575" s="71" t="s">
        <v>1807</v>
      </c>
      <c r="L575" s="75"/>
      <c r="M575" s="76">
        <v>6473.26806640625</v>
      </c>
      <c r="N575" s="76">
        <v>7017.20361328125</v>
      </c>
      <c r="O575" s="77"/>
      <c r="P575" s="78"/>
      <c r="Q575" s="78"/>
      <c r="R575" s="82"/>
      <c r="S575" s="82"/>
      <c r="T575" s="82"/>
      <c r="U575" s="82"/>
      <c r="V575" s="52"/>
      <c r="W575" s="52"/>
      <c r="X575" s="52"/>
      <c r="Y575" s="52"/>
      <c r="Z575" s="51"/>
      <c r="AA575" s="73">
        <v>575</v>
      </c>
      <c r="AB575" s="73"/>
      <c r="AC575" s="74"/>
      <c r="AD575" s="80" t="s">
        <v>1807</v>
      </c>
      <c r="AE575" s="80" t="s">
        <v>2766</v>
      </c>
      <c r="AF575" s="80" t="s">
        <v>3525</v>
      </c>
      <c r="AG575" s="80" t="s">
        <v>4255</v>
      </c>
      <c r="AH575" s="80" t="s">
        <v>5128</v>
      </c>
      <c r="AI575" s="80">
        <v>170893</v>
      </c>
      <c r="AJ575" s="80">
        <v>89</v>
      </c>
      <c r="AK575" s="80">
        <v>2150</v>
      </c>
      <c r="AL575" s="80">
        <v>144</v>
      </c>
      <c r="AM575" s="80" t="s">
        <v>5614</v>
      </c>
      <c r="AN575" s="102" t="str">
        <f>HYPERLINK("https://www.youtube.com/watch?v=MRFboPotot4")</f>
        <v>https://www.youtube.com/watch?v=MRFboPotot4</v>
      </c>
      <c r="AO575" s="2"/>
      <c r="AP575" s="3"/>
      <c r="AQ575" s="3"/>
      <c r="AR575" s="3"/>
      <c r="AS575" s="3"/>
    </row>
    <row r="576" spans="1:45" ht="15">
      <c r="A576" s="66" t="s">
        <v>755</v>
      </c>
      <c r="B576" s="67"/>
      <c r="C576" s="67"/>
      <c r="D576" s="68"/>
      <c r="E576" s="70"/>
      <c r="F576" s="100" t="str">
        <f>HYPERLINK("https://i.ytimg.com/vi/TaGIOoLBrVE/default.jpg")</f>
        <v>https://i.ytimg.com/vi/TaGIOoLBrVE/default.jpg</v>
      </c>
      <c r="G576" s="67"/>
      <c r="H576" s="71"/>
      <c r="I576" s="72"/>
      <c r="J576" s="72"/>
      <c r="K576" s="71" t="s">
        <v>1808</v>
      </c>
      <c r="L576" s="75"/>
      <c r="M576" s="76">
        <v>5646.7529296875</v>
      </c>
      <c r="N576" s="76">
        <v>7105.06591796875</v>
      </c>
      <c r="O576" s="77"/>
      <c r="P576" s="78"/>
      <c r="Q576" s="78"/>
      <c r="R576" s="82"/>
      <c r="S576" s="82"/>
      <c r="T576" s="82"/>
      <c r="U576" s="82"/>
      <c r="V576" s="52"/>
      <c r="W576" s="52"/>
      <c r="X576" s="52"/>
      <c r="Y576" s="52"/>
      <c r="Z576" s="51"/>
      <c r="AA576" s="73">
        <v>576</v>
      </c>
      <c r="AB576" s="73"/>
      <c r="AC576" s="74"/>
      <c r="AD576" s="80" t="s">
        <v>1808</v>
      </c>
      <c r="AE576" s="80" t="s">
        <v>2767</v>
      </c>
      <c r="AF576" s="80" t="s">
        <v>3526</v>
      </c>
      <c r="AG576" s="80" t="s">
        <v>4252</v>
      </c>
      <c r="AH576" s="80" t="s">
        <v>5129</v>
      </c>
      <c r="AI576" s="80">
        <v>43122</v>
      </c>
      <c r="AJ576" s="80">
        <v>0</v>
      </c>
      <c r="AK576" s="80">
        <v>203</v>
      </c>
      <c r="AL576" s="80">
        <v>16</v>
      </c>
      <c r="AM576" s="80" t="s">
        <v>5614</v>
      </c>
      <c r="AN576" s="102" t="str">
        <f>HYPERLINK("https://www.youtube.com/watch?v=TaGIOoLBrVE")</f>
        <v>https://www.youtube.com/watch?v=TaGIOoLBrVE</v>
      </c>
      <c r="AO576" s="2"/>
      <c r="AP576" s="3"/>
      <c r="AQ576" s="3"/>
      <c r="AR576" s="3"/>
      <c r="AS576" s="3"/>
    </row>
    <row r="577" spans="1:45" ht="15">
      <c r="A577" s="66" t="s">
        <v>756</v>
      </c>
      <c r="B577" s="67"/>
      <c r="C577" s="67"/>
      <c r="D577" s="68"/>
      <c r="E577" s="70"/>
      <c r="F577" s="100" t="str">
        <f>HYPERLINK("https://i.ytimg.com/vi/IcdRz2TpBfA/default.jpg")</f>
        <v>https://i.ytimg.com/vi/IcdRz2TpBfA/default.jpg</v>
      </c>
      <c r="G577" s="67"/>
      <c r="H577" s="71"/>
      <c r="I577" s="72"/>
      <c r="J577" s="72"/>
      <c r="K577" s="71" t="s">
        <v>1809</v>
      </c>
      <c r="L577" s="75"/>
      <c r="M577" s="76">
        <v>6380.16259765625</v>
      </c>
      <c r="N577" s="76">
        <v>7076.81787109375</v>
      </c>
      <c r="O577" s="77"/>
      <c r="P577" s="78"/>
      <c r="Q577" s="78"/>
      <c r="R577" s="82"/>
      <c r="S577" s="82"/>
      <c r="T577" s="82"/>
      <c r="U577" s="82"/>
      <c r="V577" s="52"/>
      <c r="W577" s="52"/>
      <c r="X577" s="52"/>
      <c r="Y577" s="52"/>
      <c r="Z577" s="51"/>
      <c r="AA577" s="73">
        <v>577</v>
      </c>
      <c r="AB577" s="73"/>
      <c r="AC577" s="74"/>
      <c r="AD577" s="80" t="s">
        <v>1809</v>
      </c>
      <c r="AE577" s="80" t="s">
        <v>2768</v>
      </c>
      <c r="AF577" s="80" t="s">
        <v>3527</v>
      </c>
      <c r="AG577" s="80" t="s">
        <v>4256</v>
      </c>
      <c r="AH577" s="80" t="s">
        <v>5130</v>
      </c>
      <c r="AI577" s="80">
        <v>20507</v>
      </c>
      <c r="AJ577" s="80">
        <v>27</v>
      </c>
      <c r="AK577" s="80">
        <v>976</v>
      </c>
      <c r="AL577" s="80">
        <v>19</v>
      </c>
      <c r="AM577" s="80" t="s">
        <v>5614</v>
      </c>
      <c r="AN577" s="102" t="str">
        <f>HYPERLINK("https://www.youtube.com/watch?v=IcdRz2TpBfA")</f>
        <v>https://www.youtube.com/watch?v=IcdRz2TpBfA</v>
      </c>
      <c r="AO577" s="2"/>
      <c r="AP577" s="3"/>
      <c r="AQ577" s="3"/>
      <c r="AR577" s="3"/>
      <c r="AS577" s="3"/>
    </row>
    <row r="578" spans="1:45" ht="15">
      <c r="A578" s="66" t="s">
        <v>757</v>
      </c>
      <c r="B578" s="67"/>
      <c r="C578" s="67"/>
      <c r="D578" s="68"/>
      <c r="E578" s="70"/>
      <c r="F578" s="100" t="str">
        <f>HYPERLINK("https://i.ytimg.com/vi/PxjBUs3Lxkg/default.jpg")</f>
        <v>https://i.ytimg.com/vi/PxjBUs3Lxkg/default.jpg</v>
      </c>
      <c r="G578" s="67"/>
      <c r="H578" s="71"/>
      <c r="I578" s="72"/>
      <c r="J578" s="72"/>
      <c r="K578" s="71" t="s">
        <v>1810</v>
      </c>
      <c r="L578" s="75"/>
      <c r="M578" s="76">
        <v>6007.2099609375</v>
      </c>
      <c r="N578" s="76">
        <v>7121.7783203125</v>
      </c>
      <c r="O578" s="77"/>
      <c r="P578" s="78"/>
      <c r="Q578" s="78"/>
      <c r="R578" s="82"/>
      <c r="S578" s="82"/>
      <c r="T578" s="82"/>
      <c r="U578" s="82"/>
      <c r="V578" s="52"/>
      <c r="W578" s="52"/>
      <c r="X578" s="52"/>
      <c r="Y578" s="52"/>
      <c r="Z578" s="51"/>
      <c r="AA578" s="73">
        <v>578</v>
      </c>
      <c r="AB578" s="73"/>
      <c r="AC578" s="74"/>
      <c r="AD578" s="80" t="s">
        <v>1810</v>
      </c>
      <c r="AE578" s="80" t="s">
        <v>2769</v>
      </c>
      <c r="AF578" s="80"/>
      <c r="AG578" s="80" t="s">
        <v>4257</v>
      </c>
      <c r="AH578" s="80" t="s">
        <v>5131</v>
      </c>
      <c r="AI578" s="80">
        <v>135</v>
      </c>
      <c r="AJ578" s="80">
        <v>0</v>
      </c>
      <c r="AK578" s="80">
        <v>5</v>
      </c>
      <c r="AL578" s="80">
        <v>0</v>
      </c>
      <c r="AM578" s="80" t="s">
        <v>5614</v>
      </c>
      <c r="AN578" s="102" t="str">
        <f>HYPERLINK("https://www.youtube.com/watch?v=PxjBUs3Lxkg")</f>
        <v>https://www.youtube.com/watch?v=PxjBUs3Lxkg</v>
      </c>
      <c r="AO578" s="2"/>
      <c r="AP578" s="3"/>
      <c r="AQ578" s="3"/>
      <c r="AR578" s="3"/>
      <c r="AS578" s="3"/>
    </row>
    <row r="579" spans="1:45" ht="15">
      <c r="A579" s="66" t="s">
        <v>758</v>
      </c>
      <c r="B579" s="67"/>
      <c r="C579" s="67"/>
      <c r="D579" s="68"/>
      <c r="E579" s="70"/>
      <c r="F579" s="100" t="str">
        <f>HYPERLINK("https://i.ytimg.com/vi/PF5X_HZvKmU/default.jpg")</f>
        <v>https://i.ytimg.com/vi/PF5X_HZvKmU/default.jpg</v>
      </c>
      <c r="G579" s="67"/>
      <c r="H579" s="71"/>
      <c r="I579" s="72"/>
      <c r="J579" s="72"/>
      <c r="K579" s="71" t="s">
        <v>1811</v>
      </c>
      <c r="L579" s="75"/>
      <c r="M579" s="76">
        <v>5801.9609375</v>
      </c>
      <c r="N579" s="76">
        <v>7074.53759765625</v>
      </c>
      <c r="O579" s="77"/>
      <c r="P579" s="78"/>
      <c r="Q579" s="78"/>
      <c r="R579" s="82"/>
      <c r="S579" s="82"/>
      <c r="T579" s="82"/>
      <c r="U579" s="82"/>
      <c r="V579" s="52"/>
      <c r="W579" s="52"/>
      <c r="X579" s="52"/>
      <c r="Y579" s="52"/>
      <c r="Z579" s="51"/>
      <c r="AA579" s="73">
        <v>579</v>
      </c>
      <c r="AB579" s="73"/>
      <c r="AC579" s="74"/>
      <c r="AD579" s="80" t="s">
        <v>1811</v>
      </c>
      <c r="AE579" s="80" t="s">
        <v>2770</v>
      </c>
      <c r="AF579" s="80" t="s">
        <v>3528</v>
      </c>
      <c r="AG579" s="80" t="s">
        <v>4258</v>
      </c>
      <c r="AH579" s="80" t="s">
        <v>5132</v>
      </c>
      <c r="AI579" s="80">
        <v>28001</v>
      </c>
      <c r="AJ579" s="80">
        <v>5</v>
      </c>
      <c r="AK579" s="80">
        <v>119</v>
      </c>
      <c r="AL579" s="80">
        <v>11</v>
      </c>
      <c r="AM579" s="80" t="s">
        <v>5614</v>
      </c>
      <c r="AN579" s="102" t="str">
        <f>HYPERLINK("https://www.youtube.com/watch?v=PF5X_HZvKmU")</f>
        <v>https://www.youtube.com/watch?v=PF5X_HZvKmU</v>
      </c>
      <c r="AO579" s="2"/>
      <c r="AP579" s="3"/>
      <c r="AQ579" s="3"/>
      <c r="AR579" s="3"/>
      <c r="AS579" s="3"/>
    </row>
    <row r="580" spans="1:45" ht="15">
      <c r="A580" s="66" t="s">
        <v>759</v>
      </c>
      <c r="B580" s="67"/>
      <c r="C580" s="67"/>
      <c r="D580" s="68"/>
      <c r="E580" s="70"/>
      <c r="F580" s="100" t="str">
        <f>HYPERLINK("https://i.ytimg.com/vi/-8TowElIV4Q/default.jpg")</f>
        <v>https://i.ytimg.com/vi/-8TowElIV4Q/default.jpg</v>
      </c>
      <c r="G580" s="67"/>
      <c r="H580" s="71"/>
      <c r="I580" s="72"/>
      <c r="J580" s="72"/>
      <c r="K580" s="71" t="s">
        <v>1812</v>
      </c>
      <c r="L580" s="75"/>
      <c r="M580" s="76">
        <v>6516.8212890625</v>
      </c>
      <c r="N580" s="76">
        <v>7110.3896484375</v>
      </c>
      <c r="O580" s="77"/>
      <c r="P580" s="78"/>
      <c r="Q580" s="78"/>
      <c r="R580" s="82"/>
      <c r="S580" s="82"/>
      <c r="T580" s="82"/>
      <c r="U580" s="82"/>
      <c r="V580" s="52"/>
      <c r="W580" s="52"/>
      <c r="X580" s="52"/>
      <c r="Y580" s="52"/>
      <c r="Z580" s="51"/>
      <c r="AA580" s="73">
        <v>580</v>
      </c>
      <c r="AB580" s="73"/>
      <c r="AC580" s="74"/>
      <c r="AD580" s="80" t="s">
        <v>1812</v>
      </c>
      <c r="AE580" s="80" t="s">
        <v>2771</v>
      </c>
      <c r="AF580" s="80" t="s">
        <v>3529</v>
      </c>
      <c r="AG580" s="80" t="s">
        <v>4259</v>
      </c>
      <c r="AH580" s="80" t="s">
        <v>5133</v>
      </c>
      <c r="AI580" s="80">
        <v>45045</v>
      </c>
      <c r="AJ580" s="80">
        <v>22</v>
      </c>
      <c r="AK580" s="80">
        <v>578</v>
      </c>
      <c r="AL580" s="80">
        <v>17</v>
      </c>
      <c r="AM580" s="80" t="s">
        <v>5614</v>
      </c>
      <c r="AN580" s="102" t="str">
        <f>HYPERLINK("https://www.youtube.com/watch?v=-8TowElIV4Q")</f>
        <v>https://www.youtube.com/watch?v=-8TowElIV4Q</v>
      </c>
      <c r="AO580" s="2"/>
      <c r="AP580" s="3"/>
      <c r="AQ580" s="3"/>
      <c r="AR580" s="3"/>
      <c r="AS580" s="3"/>
    </row>
    <row r="581" spans="1:45" ht="15">
      <c r="A581" s="66" t="s">
        <v>760</v>
      </c>
      <c r="B581" s="67"/>
      <c r="C581" s="67"/>
      <c r="D581" s="68"/>
      <c r="E581" s="70"/>
      <c r="F581" s="100" t="str">
        <f>HYPERLINK("https://i.ytimg.com/vi/BeR2-TcSMwE/default.jpg")</f>
        <v>https://i.ytimg.com/vi/BeR2-TcSMwE/default.jpg</v>
      </c>
      <c r="G581" s="67"/>
      <c r="H581" s="71"/>
      <c r="I581" s="72"/>
      <c r="J581" s="72"/>
      <c r="K581" s="71" t="s">
        <v>1813</v>
      </c>
      <c r="L581" s="75"/>
      <c r="M581" s="76">
        <v>6089.28369140625</v>
      </c>
      <c r="N581" s="76">
        <v>7171.8525390625</v>
      </c>
      <c r="O581" s="77"/>
      <c r="P581" s="78"/>
      <c r="Q581" s="78"/>
      <c r="R581" s="82"/>
      <c r="S581" s="82"/>
      <c r="T581" s="82"/>
      <c r="U581" s="82"/>
      <c r="V581" s="52"/>
      <c r="W581" s="52"/>
      <c r="X581" s="52"/>
      <c r="Y581" s="52"/>
      <c r="Z581" s="51"/>
      <c r="AA581" s="73">
        <v>581</v>
      </c>
      <c r="AB581" s="73"/>
      <c r="AC581" s="74"/>
      <c r="AD581" s="80" t="s">
        <v>1813</v>
      </c>
      <c r="AE581" s="80" t="s">
        <v>2772</v>
      </c>
      <c r="AF581" s="80" t="s">
        <v>3530</v>
      </c>
      <c r="AG581" s="80" t="s">
        <v>4260</v>
      </c>
      <c r="AH581" s="80" t="s">
        <v>5134</v>
      </c>
      <c r="AI581" s="80">
        <v>976811</v>
      </c>
      <c r="AJ581" s="80">
        <v>85</v>
      </c>
      <c r="AK581" s="80">
        <v>1622</v>
      </c>
      <c r="AL581" s="80">
        <v>105</v>
      </c>
      <c r="AM581" s="80" t="s">
        <v>5614</v>
      </c>
      <c r="AN581" s="102" t="str">
        <f>HYPERLINK("https://www.youtube.com/watch?v=BeR2-TcSMwE")</f>
        <v>https://www.youtube.com/watch?v=BeR2-TcSMwE</v>
      </c>
      <c r="AO581" s="2"/>
      <c r="AP581" s="3"/>
      <c r="AQ581" s="3"/>
      <c r="AR581" s="3"/>
      <c r="AS581" s="3"/>
    </row>
    <row r="582" spans="1:45" ht="15">
      <c r="A582" s="66" t="s">
        <v>761</v>
      </c>
      <c r="B582" s="67"/>
      <c r="C582" s="67"/>
      <c r="D582" s="68"/>
      <c r="E582" s="70"/>
      <c r="F582" s="100" t="str">
        <f>HYPERLINK("https://i.ytimg.com/vi/NOSu7An-R4Y/default.jpg")</f>
        <v>https://i.ytimg.com/vi/NOSu7An-R4Y/default.jpg</v>
      </c>
      <c r="G582" s="67"/>
      <c r="H582" s="71"/>
      <c r="I582" s="72"/>
      <c r="J582" s="72"/>
      <c r="K582" s="71" t="s">
        <v>1814</v>
      </c>
      <c r="L582" s="75"/>
      <c r="M582" s="76">
        <v>6752.0263671875</v>
      </c>
      <c r="N582" s="76">
        <v>6979.2783203125</v>
      </c>
      <c r="O582" s="77"/>
      <c r="P582" s="78"/>
      <c r="Q582" s="78"/>
      <c r="R582" s="82"/>
      <c r="S582" s="82"/>
      <c r="T582" s="82"/>
      <c r="U582" s="82"/>
      <c r="V582" s="52"/>
      <c r="W582" s="52"/>
      <c r="X582" s="52"/>
      <c r="Y582" s="52"/>
      <c r="Z582" s="51"/>
      <c r="AA582" s="73">
        <v>582</v>
      </c>
      <c r="AB582" s="73"/>
      <c r="AC582" s="74"/>
      <c r="AD582" s="80" t="s">
        <v>1814</v>
      </c>
      <c r="AE582" s="80"/>
      <c r="AF582" s="80"/>
      <c r="AG582" s="80" t="s">
        <v>4261</v>
      </c>
      <c r="AH582" s="80" t="s">
        <v>5135</v>
      </c>
      <c r="AI582" s="80">
        <v>3538</v>
      </c>
      <c r="AJ582" s="80">
        <v>9</v>
      </c>
      <c r="AK582" s="80">
        <v>34</v>
      </c>
      <c r="AL582" s="80">
        <v>0</v>
      </c>
      <c r="AM582" s="80" t="s">
        <v>5614</v>
      </c>
      <c r="AN582" s="102" t="str">
        <f>HYPERLINK("https://www.youtube.com/watch?v=NOSu7An-R4Y")</f>
        <v>https://www.youtube.com/watch?v=NOSu7An-R4Y</v>
      </c>
      <c r="AO582" s="2"/>
      <c r="AP582" s="3"/>
      <c r="AQ582" s="3"/>
      <c r="AR582" s="3"/>
      <c r="AS582" s="3"/>
    </row>
    <row r="583" spans="1:45" ht="15">
      <c r="A583" s="66" t="s">
        <v>762</v>
      </c>
      <c r="B583" s="67"/>
      <c r="C583" s="67"/>
      <c r="D583" s="68"/>
      <c r="E583" s="70"/>
      <c r="F583" s="100" t="str">
        <f>HYPERLINK("https://i.ytimg.com/vi/gvOWG5Is8Q0/default.jpg")</f>
        <v>https://i.ytimg.com/vi/gvOWG5Is8Q0/default.jpg</v>
      </c>
      <c r="G583" s="67"/>
      <c r="H583" s="71"/>
      <c r="I583" s="72"/>
      <c r="J583" s="72"/>
      <c r="K583" s="71" t="s">
        <v>1815</v>
      </c>
      <c r="L583" s="75"/>
      <c r="M583" s="76">
        <v>6755.61767578125</v>
      </c>
      <c r="N583" s="76">
        <v>6966.8896484375</v>
      </c>
      <c r="O583" s="77"/>
      <c r="P583" s="78"/>
      <c r="Q583" s="78"/>
      <c r="R583" s="82"/>
      <c r="S583" s="82"/>
      <c r="T583" s="82"/>
      <c r="U583" s="82"/>
      <c r="V583" s="52"/>
      <c r="W583" s="52"/>
      <c r="X583" s="52"/>
      <c r="Y583" s="52"/>
      <c r="Z583" s="51"/>
      <c r="AA583" s="73">
        <v>583</v>
      </c>
      <c r="AB583" s="73"/>
      <c r="AC583" s="74"/>
      <c r="AD583" s="80" t="s">
        <v>1815</v>
      </c>
      <c r="AE583" s="80" t="s">
        <v>2773</v>
      </c>
      <c r="AF583" s="80"/>
      <c r="AG583" s="80" t="s">
        <v>4094</v>
      </c>
      <c r="AH583" s="80" t="s">
        <v>5136</v>
      </c>
      <c r="AI583" s="80">
        <v>3533</v>
      </c>
      <c r="AJ583" s="80">
        <v>7</v>
      </c>
      <c r="AK583" s="80">
        <v>103</v>
      </c>
      <c r="AL583" s="80">
        <v>0</v>
      </c>
      <c r="AM583" s="80" t="s">
        <v>5614</v>
      </c>
      <c r="AN583" s="102" t="str">
        <f>HYPERLINK("https://www.youtube.com/watch?v=gvOWG5Is8Q0")</f>
        <v>https://www.youtube.com/watch?v=gvOWG5Is8Q0</v>
      </c>
      <c r="AO583" s="2"/>
      <c r="AP583" s="3"/>
      <c r="AQ583" s="3"/>
      <c r="AR583" s="3"/>
      <c r="AS583" s="3"/>
    </row>
    <row r="584" spans="1:45" ht="15">
      <c r="A584" s="66" t="s">
        <v>763</v>
      </c>
      <c r="B584" s="67"/>
      <c r="C584" s="67"/>
      <c r="D584" s="68"/>
      <c r="E584" s="70"/>
      <c r="F584" s="100" t="str">
        <f>HYPERLINK("https://i.ytimg.com/vi/XFJZjxUOIl8/default.jpg")</f>
        <v>https://i.ytimg.com/vi/XFJZjxUOIl8/default.jpg</v>
      </c>
      <c r="G584" s="67"/>
      <c r="H584" s="71"/>
      <c r="I584" s="72"/>
      <c r="J584" s="72"/>
      <c r="K584" s="71" t="s">
        <v>1816</v>
      </c>
      <c r="L584" s="75"/>
      <c r="M584" s="76">
        <v>5785.04443359375</v>
      </c>
      <c r="N584" s="76">
        <v>7165.8701171875</v>
      </c>
      <c r="O584" s="77"/>
      <c r="P584" s="78"/>
      <c r="Q584" s="78"/>
      <c r="R584" s="82"/>
      <c r="S584" s="82"/>
      <c r="T584" s="82"/>
      <c r="U584" s="82"/>
      <c r="V584" s="52"/>
      <c r="W584" s="52"/>
      <c r="X584" s="52"/>
      <c r="Y584" s="52"/>
      <c r="Z584" s="51"/>
      <c r="AA584" s="73">
        <v>584</v>
      </c>
      <c r="AB584" s="73"/>
      <c r="AC584" s="74"/>
      <c r="AD584" s="80" t="s">
        <v>1816</v>
      </c>
      <c r="AE584" s="80" t="s">
        <v>2774</v>
      </c>
      <c r="AF584" s="80" t="s">
        <v>3531</v>
      </c>
      <c r="AG584" s="80" t="s">
        <v>4262</v>
      </c>
      <c r="AH584" s="80" t="s">
        <v>5137</v>
      </c>
      <c r="AI584" s="80">
        <v>662841</v>
      </c>
      <c r="AJ584" s="80">
        <v>1</v>
      </c>
      <c r="AK584" s="80">
        <v>3542</v>
      </c>
      <c r="AL584" s="80">
        <v>283</v>
      </c>
      <c r="AM584" s="80" t="s">
        <v>5614</v>
      </c>
      <c r="AN584" s="102" t="str">
        <f>HYPERLINK("https://www.youtube.com/watch?v=XFJZjxUOIl8")</f>
        <v>https://www.youtube.com/watch?v=XFJZjxUOIl8</v>
      </c>
      <c r="AO584" s="2"/>
      <c r="AP584" s="3"/>
      <c r="AQ584" s="3"/>
      <c r="AR584" s="3"/>
      <c r="AS584" s="3"/>
    </row>
    <row r="585" spans="1:45" ht="15">
      <c r="A585" s="66" t="s">
        <v>764</v>
      </c>
      <c r="B585" s="67"/>
      <c r="C585" s="67"/>
      <c r="D585" s="68"/>
      <c r="E585" s="70"/>
      <c r="F585" s="100" t="str">
        <f>HYPERLINK("https://i.ytimg.com/vi/W7uhgHbQrmc/default.jpg")</f>
        <v>https://i.ytimg.com/vi/W7uhgHbQrmc/default.jpg</v>
      </c>
      <c r="G585" s="67"/>
      <c r="H585" s="71"/>
      <c r="I585" s="72"/>
      <c r="J585" s="72"/>
      <c r="K585" s="71" t="s">
        <v>1817</v>
      </c>
      <c r="L585" s="75"/>
      <c r="M585" s="76">
        <v>5656.77978515625</v>
      </c>
      <c r="N585" s="76">
        <v>7189.25830078125</v>
      </c>
      <c r="O585" s="77"/>
      <c r="P585" s="78"/>
      <c r="Q585" s="78"/>
      <c r="R585" s="82"/>
      <c r="S585" s="82"/>
      <c r="T585" s="82"/>
      <c r="U585" s="82"/>
      <c r="V585" s="52"/>
      <c r="W585" s="52"/>
      <c r="X585" s="52"/>
      <c r="Y585" s="52"/>
      <c r="Z585" s="51"/>
      <c r="AA585" s="73">
        <v>585</v>
      </c>
      <c r="AB585" s="73"/>
      <c r="AC585" s="74"/>
      <c r="AD585" s="80" t="s">
        <v>1817</v>
      </c>
      <c r="AE585" s="80" t="s">
        <v>2775</v>
      </c>
      <c r="AF585" s="80"/>
      <c r="AG585" s="80" t="s">
        <v>4094</v>
      </c>
      <c r="AH585" s="80" t="s">
        <v>5138</v>
      </c>
      <c r="AI585" s="80">
        <v>1958</v>
      </c>
      <c r="AJ585" s="80">
        <v>3</v>
      </c>
      <c r="AK585" s="80">
        <v>61</v>
      </c>
      <c r="AL585" s="80">
        <v>1</v>
      </c>
      <c r="AM585" s="80" t="s">
        <v>5614</v>
      </c>
      <c r="AN585" s="102" t="str">
        <f>HYPERLINK("https://www.youtube.com/watch?v=W7uhgHbQrmc")</f>
        <v>https://www.youtube.com/watch?v=W7uhgHbQrmc</v>
      </c>
      <c r="AO585" s="2"/>
      <c r="AP585" s="3"/>
      <c r="AQ585" s="3"/>
      <c r="AR585" s="3"/>
      <c r="AS585" s="3"/>
    </row>
    <row r="586" spans="1:45" ht="15">
      <c r="A586" s="66" t="s">
        <v>765</v>
      </c>
      <c r="B586" s="67"/>
      <c r="C586" s="67"/>
      <c r="D586" s="68"/>
      <c r="E586" s="70"/>
      <c r="F586" s="100" t="str">
        <f>HYPERLINK("https://i.ytimg.com/vi/Fxvmt3kkoaw/default.jpg")</f>
        <v>https://i.ytimg.com/vi/Fxvmt3kkoaw/default.jpg</v>
      </c>
      <c r="G586" s="67"/>
      <c r="H586" s="71"/>
      <c r="I586" s="72"/>
      <c r="J586" s="72"/>
      <c r="K586" s="71" t="s">
        <v>1818</v>
      </c>
      <c r="L586" s="75"/>
      <c r="M586" s="76">
        <v>6178.5029296875</v>
      </c>
      <c r="N586" s="76">
        <v>7065.3681640625</v>
      </c>
      <c r="O586" s="77"/>
      <c r="P586" s="78"/>
      <c r="Q586" s="78"/>
      <c r="R586" s="82"/>
      <c r="S586" s="82"/>
      <c r="T586" s="82"/>
      <c r="U586" s="82"/>
      <c r="V586" s="52"/>
      <c r="W586" s="52"/>
      <c r="X586" s="52"/>
      <c r="Y586" s="52"/>
      <c r="Z586" s="51"/>
      <c r="AA586" s="73">
        <v>586</v>
      </c>
      <c r="AB586" s="73"/>
      <c r="AC586" s="74"/>
      <c r="AD586" s="80" t="s">
        <v>1818</v>
      </c>
      <c r="AE586" s="80" t="s">
        <v>2776</v>
      </c>
      <c r="AF586" s="80" t="s">
        <v>3532</v>
      </c>
      <c r="AG586" s="80" t="s">
        <v>4252</v>
      </c>
      <c r="AH586" s="80" t="s">
        <v>5139</v>
      </c>
      <c r="AI586" s="80">
        <v>86089</v>
      </c>
      <c r="AJ586" s="80">
        <v>36</v>
      </c>
      <c r="AK586" s="80">
        <v>432</v>
      </c>
      <c r="AL586" s="80">
        <v>40</v>
      </c>
      <c r="AM586" s="80" t="s">
        <v>5614</v>
      </c>
      <c r="AN586" s="102" t="str">
        <f>HYPERLINK("https://www.youtube.com/watch?v=Fxvmt3kkoaw")</f>
        <v>https://www.youtube.com/watch?v=Fxvmt3kkoaw</v>
      </c>
      <c r="AO586" s="2"/>
      <c r="AP586" s="3"/>
      <c r="AQ586" s="3"/>
      <c r="AR586" s="3"/>
      <c r="AS586" s="3"/>
    </row>
    <row r="587" spans="1:45" ht="15">
      <c r="A587" s="66" t="s">
        <v>766</v>
      </c>
      <c r="B587" s="67"/>
      <c r="C587" s="67"/>
      <c r="D587" s="68"/>
      <c r="E587" s="70"/>
      <c r="F587" s="100" t="str">
        <f>HYPERLINK("https://i.ytimg.com/vi/8lZe8Sk-30Y/default.jpg")</f>
        <v>https://i.ytimg.com/vi/8lZe8Sk-30Y/default.jpg</v>
      </c>
      <c r="G587" s="67"/>
      <c r="H587" s="71"/>
      <c r="I587" s="72"/>
      <c r="J587" s="72"/>
      <c r="K587" s="71" t="s">
        <v>1819</v>
      </c>
      <c r="L587" s="75"/>
      <c r="M587" s="76">
        <v>5407.4072265625</v>
      </c>
      <c r="N587" s="76">
        <v>7118.9013671875</v>
      </c>
      <c r="O587" s="77"/>
      <c r="P587" s="78"/>
      <c r="Q587" s="78"/>
      <c r="R587" s="82"/>
      <c r="S587" s="82"/>
      <c r="T587" s="82"/>
      <c r="U587" s="82"/>
      <c r="V587" s="52"/>
      <c r="W587" s="52"/>
      <c r="X587" s="52"/>
      <c r="Y587" s="52"/>
      <c r="Z587" s="51"/>
      <c r="AA587" s="73">
        <v>587</v>
      </c>
      <c r="AB587" s="73"/>
      <c r="AC587" s="74"/>
      <c r="AD587" s="80" t="s">
        <v>1819</v>
      </c>
      <c r="AE587" s="80" t="s">
        <v>2777</v>
      </c>
      <c r="AF587" s="80"/>
      <c r="AG587" s="80" t="s">
        <v>4263</v>
      </c>
      <c r="AH587" s="80" t="s">
        <v>5140</v>
      </c>
      <c r="AI587" s="80">
        <v>25696</v>
      </c>
      <c r="AJ587" s="80">
        <v>0</v>
      </c>
      <c r="AK587" s="80">
        <v>279</v>
      </c>
      <c r="AL587" s="80">
        <v>24</v>
      </c>
      <c r="AM587" s="80" t="s">
        <v>5614</v>
      </c>
      <c r="AN587" s="102" t="str">
        <f>HYPERLINK("https://www.youtube.com/watch?v=8lZe8Sk-30Y")</f>
        <v>https://www.youtube.com/watch?v=8lZe8Sk-30Y</v>
      </c>
      <c r="AO587" s="2"/>
      <c r="AP587" s="3"/>
      <c r="AQ587" s="3"/>
      <c r="AR587" s="3"/>
      <c r="AS587" s="3"/>
    </row>
    <row r="588" spans="1:45" ht="15">
      <c r="A588" s="66" t="s">
        <v>767</v>
      </c>
      <c r="B588" s="67"/>
      <c r="C588" s="67"/>
      <c r="D588" s="68"/>
      <c r="E588" s="70"/>
      <c r="F588" s="100" t="str">
        <f>HYPERLINK("https://i.ytimg.com/vi/dHZb6t2OJJ4/default.jpg")</f>
        <v>https://i.ytimg.com/vi/dHZb6t2OJJ4/default.jpg</v>
      </c>
      <c r="G588" s="67"/>
      <c r="H588" s="71"/>
      <c r="I588" s="72"/>
      <c r="J588" s="72"/>
      <c r="K588" s="71" t="s">
        <v>1820</v>
      </c>
      <c r="L588" s="75"/>
      <c r="M588" s="76">
        <v>6182.1142578125</v>
      </c>
      <c r="N588" s="76">
        <v>7045.0224609375</v>
      </c>
      <c r="O588" s="77"/>
      <c r="P588" s="78"/>
      <c r="Q588" s="78"/>
      <c r="R588" s="82"/>
      <c r="S588" s="82"/>
      <c r="T588" s="82"/>
      <c r="U588" s="82"/>
      <c r="V588" s="52"/>
      <c r="W588" s="52"/>
      <c r="X588" s="52"/>
      <c r="Y588" s="52"/>
      <c r="Z588" s="51"/>
      <c r="AA588" s="73">
        <v>588</v>
      </c>
      <c r="AB588" s="73"/>
      <c r="AC588" s="74"/>
      <c r="AD588" s="80" t="s">
        <v>1820</v>
      </c>
      <c r="AE588" s="80" t="s">
        <v>2778</v>
      </c>
      <c r="AF588" s="80" t="s">
        <v>3533</v>
      </c>
      <c r="AG588" s="80" t="s">
        <v>4264</v>
      </c>
      <c r="AH588" s="80" t="s">
        <v>5141</v>
      </c>
      <c r="AI588" s="80">
        <v>677584</v>
      </c>
      <c r="AJ588" s="80">
        <v>108</v>
      </c>
      <c r="AK588" s="80">
        <v>4289</v>
      </c>
      <c r="AL588" s="80">
        <v>189</v>
      </c>
      <c r="AM588" s="80" t="s">
        <v>5614</v>
      </c>
      <c r="AN588" s="102" t="str">
        <f>HYPERLINK("https://www.youtube.com/watch?v=dHZb6t2OJJ4")</f>
        <v>https://www.youtube.com/watch?v=dHZb6t2OJJ4</v>
      </c>
      <c r="AO588" s="2"/>
      <c r="AP588" s="3"/>
      <c r="AQ588" s="3"/>
      <c r="AR588" s="3"/>
      <c r="AS588" s="3"/>
    </row>
    <row r="589" spans="1:45" ht="15">
      <c r="A589" s="66" t="s">
        <v>768</v>
      </c>
      <c r="B589" s="67"/>
      <c r="C589" s="67"/>
      <c r="D589" s="68"/>
      <c r="E589" s="70"/>
      <c r="F589" s="100" t="str">
        <f>HYPERLINK("https://i.ytimg.com/vi/9Hyi7FJLo10/default.jpg")</f>
        <v>https://i.ytimg.com/vi/9Hyi7FJLo10/default.jpg</v>
      </c>
      <c r="G589" s="67"/>
      <c r="H589" s="71"/>
      <c r="I589" s="72"/>
      <c r="J589" s="72"/>
      <c r="K589" s="71" t="s">
        <v>1821</v>
      </c>
      <c r="L589" s="75"/>
      <c r="M589" s="76">
        <v>6230.57763671875</v>
      </c>
      <c r="N589" s="76">
        <v>7146.9736328125</v>
      </c>
      <c r="O589" s="77"/>
      <c r="P589" s="78"/>
      <c r="Q589" s="78"/>
      <c r="R589" s="82"/>
      <c r="S589" s="82"/>
      <c r="T589" s="82"/>
      <c r="U589" s="82"/>
      <c r="V589" s="52"/>
      <c r="W589" s="52"/>
      <c r="X589" s="52"/>
      <c r="Y589" s="52"/>
      <c r="Z589" s="51"/>
      <c r="AA589" s="73">
        <v>589</v>
      </c>
      <c r="AB589" s="73"/>
      <c r="AC589" s="74"/>
      <c r="AD589" s="80" t="s">
        <v>1821</v>
      </c>
      <c r="AE589" s="80" t="s">
        <v>2779</v>
      </c>
      <c r="AF589" s="80" t="s">
        <v>3534</v>
      </c>
      <c r="AG589" s="80" t="s">
        <v>4265</v>
      </c>
      <c r="AH589" s="80" t="s">
        <v>5142</v>
      </c>
      <c r="AI589" s="80">
        <v>19492</v>
      </c>
      <c r="AJ589" s="80">
        <v>27</v>
      </c>
      <c r="AK589" s="80">
        <v>872</v>
      </c>
      <c r="AL589" s="80">
        <v>7</v>
      </c>
      <c r="AM589" s="80" t="s">
        <v>5614</v>
      </c>
      <c r="AN589" s="102" t="str">
        <f>HYPERLINK("https://www.youtube.com/watch?v=9Hyi7FJLo10")</f>
        <v>https://www.youtube.com/watch?v=9Hyi7FJLo10</v>
      </c>
      <c r="AO589" s="2"/>
      <c r="AP589" s="3"/>
      <c r="AQ589" s="3"/>
      <c r="AR589" s="3"/>
      <c r="AS589" s="3"/>
    </row>
    <row r="590" spans="1:45" ht="15">
      <c r="A590" s="66" t="s">
        <v>769</v>
      </c>
      <c r="B590" s="67"/>
      <c r="C590" s="67"/>
      <c r="D590" s="68"/>
      <c r="E590" s="70"/>
      <c r="F590" s="100" t="str">
        <f>HYPERLINK("https://i.ytimg.com/vi/YMzDHZmCncQ/default.jpg")</f>
        <v>https://i.ytimg.com/vi/YMzDHZmCncQ/default.jpg</v>
      </c>
      <c r="G590" s="67"/>
      <c r="H590" s="71"/>
      <c r="I590" s="72"/>
      <c r="J590" s="72"/>
      <c r="K590" s="71" t="s">
        <v>1822</v>
      </c>
      <c r="L590" s="75"/>
      <c r="M590" s="76">
        <v>6482.88134765625</v>
      </c>
      <c r="N590" s="76">
        <v>7072.96826171875</v>
      </c>
      <c r="O590" s="77"/>
      <c r="P590" s="78"/>
      <c r="Q590" s="78"/>
      <c r="R590" s="82"/>
      <c r="S590" s="82"/>
      <c r="T590" s="82"/>
      <c r="U590" s="82"/>
      <c r="V590" s="52"/>
      <c r="W590" s="52"/>
      <c r="X590" s="52"/>
      <c r="Y590" s="52"/>
      <c r="Z590" s="51"/>
      <c r="AA590" s="73">
        <v>590</v>
      </c>
      <c r="AB590" s="73"/>
      <c r="AC590" s="74"/>
      <c r="AD590" s="80" t="s">
        <v>1822</v>
      </c>
      <c r="AE590" s="80" t="s">
        <v>2780</v>
      </c>
      <c r="AF590" s="80" t="s">
        <v>3535</v>
      </c>
      <c r="AG590" s="80" t="s">
        <v>4252</v>
      </c>
      <c r="AH590" s="80" t="s">
        <v>5143</v>
      </c>
      <c r="AI590" s="80">
        <v>43975</v>
      </c>
      <c r="AJ590" s="80">
        <v>18</v>
      </c>
      <c r="AK590" s="80">
        <v>354</v>
      </c>
      <c r="AL590" s="80">
        <v>33</v>
      </c>
      <c r="AM590" s="80" t="s">
        <v>5614</v>
      </c>
      <c r="AN590" s="102" t="str">
        <f>HYPERLINK("https://www.youtube.com/watch?v=YMzDHZmCncQ")</f>
        <v>https://www.youtube.com/watch?v=YMzDHZmCncQ</v>
      </c>
      <c r="AO590" s="2"/>
      <c r="AP590" s="3"/>
      <c r="AQ590" s="3"/>
      <c r="AR590" s="3"/>
      <c r="AS590" s="3"/>
    </row>
    <row r="591" spans="1:45" ht="15">
      <c r="A591" s="66" t="s">
        <v>770</v>
      </c>
      <c r="B591" s="67"/>
      <c r="C591" s="67"/>
      <c r="D591" s="68"/>
      <c r="E591" s="70"/>
      <c r="F591" s="100" t="str">
        <f>HYPERLINK("https://i.ytimg.com/vi/brI_t6uoaUs/default.jpg")</f>
        <v>https://i.ytimg.com/vi/brI_t6uoaUs/default.jpg</v>
      </c>
      <c r="G591" s="67"/>
      <c r="H591" s="71"/>
      <c r="I591" s="72"/>
      <c r="J591" s="72"/>
      <c r="K591" s="71" t="s">
        <v>1823</v>
      </c>
      <c r="L591" s="75"/>
      <c r="M591" s="76">
        <v>6013.66162109375</v>
      </c>
      <c r="N591" s="76">
        <v>7107.86865234375</v>
      </c>
      <c r="O591" s="77"/>
      <c r="P591" s="78"/>
      <c r="Q591" s="78"/>
      <c r="R591" s="82"/>
      <c r="S591" s="82"/>
      <c r="T591" s="82"/>
      <c r="U591" s="82"/>
      <c r="V591" s="52"/>
      <c r="W591" s="52"/>
      <c r="X591" s="52"/>
      <c r="Y591" s="52"/>
      <c r="Z591" s="51"/>
      <c r="AA591" s="73">
        <v>591</v>
      </c>
      <c r="AB591" s="73"/>
      <c r="AC591" s="74"/>
      <c r="AD591" s="80" t="s">
        <v>1823</v>
      </c>
      <c r="AE591" s="80" t="s">
        <v>2781</v>
      </c>
      <c r="AF591" s="80" t="s">
        <v>3536</v>
      </c>
      <c r="AG591" s="80" t="s">
        <v>4266</v>
      </c>
      <c r="AH591" s="80" t="s">
        <v>5144</v>
      </c>
      <c r="AI591" s="80">
        <v>144646</v>
      </c>
      <c r="AJ591" s="80">
        <v>60</v>
      </c>
      <c r="AK591" s="80">
        <v>2336</v>
      </c>
      <c r="AL591" s="80">
        <v>61</v>
      </c>
      <c r="AM591" s="80" t="s">
        <v>5614</v>
      </c>
      <c r="AN591" s="102" t="str">
        <f>HYPERLINK("https://www.youtube.com/watch?v=brI_t6uoaUs")</f>
        <v>https://www.youtube.com/watch?v=brI_t6uoaUs</v>
      </c>
      <c r="AO591" s="2"/>
      <c r="AP591" s="3"/>
      <c r="AQ591" s="3"/>
      <c r="AR591" s="3"/>
      <c r="AS591" s="3"/>
    </row>
    <row r="592" spans="1:45" ht="15">
      <c r="A592" s="66" t="s">
        <v>771</v>
      </c>
      <c r="B592" s="67"/>
      <c r="C592" s="67"/>
      <c r="D592" s="68"/>
      <c r="E592" s="70"/>
      <c r="F592" s="100" t="str">
        <f>HYPERLINK("https://i.ytimg.com/vi/cbkTbHs4X_Q/default.jpg")</f>
        <v>https://i.ytimg.com/vi/cbkTbHs4X_Q/default.jpg</v>
      </c>
      <c r="G592" s="67"/>
      <c r="H592" s="71"/>
      <c r="I592" s="72"/>
      <c r="J592" s="72"/>
      <c r="K592" s="71" t="s">
        <v>1824</v>
      </c>
      <c r="L592" s="75"/>
      <c r="M592" s="76">
        <v>5696.59375</v>
      </c>
      <c r="N592" s="76">
        <v>7110.44287109375</v>
      </c>
      <c r="O592" s="77"/>
      <c r="P592" s="78"/>
      <c r="Q592" s="78"/>
      <c r="R592" s="82"/>
      <c r="S592" s="82"/>
      <c r="T592" s="82"/>
      <c r="U592" s="82"/>
      <c r="V592" s="52"/>
      <c r="W592" s="52"/>
      <c r="X592" s="52"/>
      <c r="Y592" s="52"/>
      <c r="Z592" s="51"/>
      <c r="AA592" s="73">
        <v>592</v>
      </c>
      <c r="AB592" s="73"/>
      <c r="AC592" s="74"/>
      <c r="AD592" s="80" t="s">
        <v>1824</v>
      </c>
      <c r="AE592" s="80"/>
      <c r="AF592" s="80"/>
      <c r="AG592" s="80" t="s">
        <v>4267</v>
      </c>
      <c r="AH592" s="80" t="s">
        <v>5145</v>
      </c>
      <c r="AI592" s="80">
        <v>1577</v>
      </c>
      <c r="AJ592" s="80">
        <v>9</v>
      </c>
      <c r="AK592" s="80">
        <v>34</v>
      </c>
      <c r="AL592" s="80">
        <v>0</v>
      </c>
      <c r="AM592" s="80" t="s">
        <v>5614</v>
      </c>
      <c r="AN592" s="102" t="str">
        <f>HYPERLINK("https://www.youtube.com/watch?v=cbkTbHs4X_Q")</f>
        <v>https://www.youtube.com/watch?v=cbkTbHs4X_Q</v>
      </c>
      <c r="AO592" s="2"/>
      <c r="AP592" s="3"/>
      <c r="AQ592" s="3"/>
      <c r="AR592" s="3"/>
      <c r="AS592" s="3"/>
    </row>
    <row r="593" spans="1:45" ht="15">
      <c r="A593" s="66" t="s">
        <v>772</v>
      </c>
      <c r="B593" s="67"/>
      <c r="C593" s="67"/>
      <c r="D593" s="68"/>
      <c r="E593" s="70"/>
      <c r="F593" s="100" t="str">
        <f>HYPERLINK("https://i.ytimg.com/vi/lCOyxb12Zs8/default.jpg")</f>
        <v>https://i.ytimg.com/vi/lCOyxb12Zs8/default.jpg</v>
      </c>
      <c r="G593" s="67"/>
      <c r="H593" s="71"/>
      <c r="I593" s="72"/>
      <c r="J593" s="72"/>
      <c r="K593" s="71" t="s">
        <v>1825</v>
      </c>
      <c r="L593" s="75"/>
      <c r="M593" s="76">
        <v>5752.57373046875</v>
      </c>
      <c r="N593" s="76">
        <v>7200.7958984375</v>
      </c>
      <c r="O593" s="77"/>
      <c r="P593" s="78"/>
      <c r="Q593" s="78"/>
      <c r="R593" s="82"/>
      <c r="S593" s="82"/>
      <c r="T593" s="82"/>
      <c r="U593" s="82"/>
      <c r="V593" s="52"/>
      <c r="W593" s="52"/>
      <c r="X593" s="52"/>
      <c r="Y593" s="52"/>
      <c r="Z593" s="51"/>
      <c r="AA593" s="73">
        <v>593</v>
      </c>
      <c r="AB593" s="73"/>
      <c r="AC593" s="74"/>
      <c r="AD593" s="80" t="s">
        <v>1825</v>
      </c>
      <c r="AE593" s="80" t="s">
        <v>2782</v>
      </c>
      <c r="AF593" s="80" t="s">
        <v>3537</v>
      </c>
      <c r="AG593" s="80" t="s">
        <v>4268</v>
      </c>
      <c r="AH593" s="80" t="s">
        <v>5146</v>
      </c>
      <c r="AI593" s="80">
        <v>17931</v>
      </c>
      <c r="AJ593" s="80">
        <v>0</v>
      </c>
      <c r="AK593" s="80">
        <v>446</v>
      </c>
      <c r="AL593" s="80">
        <v>6</v>
      </c>
      <c r="AM593" s="80" t="s">
        <v>5614</v>
      </c>
      <c r="AN593" s="102" t="str">
        <f>HYPERLINK("https://www.youtube.com/watch?v=lCOyxb12Zs8")</f>
        <v>https://www.youtube.com/watch?v=lCOyxb12Zs8</v>
      </c>
      <c r="AO593" s="2"/>
      <c r="AP593" s="3"/>
      <c r="AQ593" s="3"/>
      <c r="AR593" s="3"/>
      <c r="AS593" s="3"/>
    </row>
    <row r="594" spans="1:45" ht="15">
      <c r="A594" s="66" t="s">
        <v>773</v>
      </c>
      <c r="B594" s="67"/>
      <c r="C594" s="67"/>
      <c r="D594" s="68"/>
      <c r="E594" s="70"/>
      <c r="F594" s="100" t="str">
        <f>HYPERLINK("https://i.ytimg.com/vi/bvQdCagVJrk/default.jpg")</f>
        <v>https://i.ytimg.com/vi/bvQdCagVJrk/default.jpg</v>
      </c>
      <c r="G594" s="67"/>
      <c r="H594" s="71"/>
      <c r="I594" s="72"/>
      <c r="J594" s="72"/>
      <c r="K594" s="71" t="s">
        <v>1826</v>
      </c>
      <c r="L594" s="75"/>
      <c r="M594" s="76">
        <v>6579.9482421875</v>
      </c>
      <c r="N594" s="76">
        <v>7022.91455078125</v>
      </c>
      <c r="O594" s="77"/>
      <c r="P594" s="78"/>
      <c r="Q594" s="78"/>
      <c r="R594" s="82"/>
      <c r="S594" s="82"/>
      <c r="T594" s="82"/>
      <c r="U594" s="82"/>
      <c r="V594" s="52"/>
      <c r="W594" s="52"/>
      <c r="X594" s="52"/>
      <c r="Y594" s="52"/>
      <c r="Z594" s="51"/>
      <c r="AA594" s="73">
        <v>594</v>
      </c>
      <c r="AB594" s="73"/>
      <c r="AC594" s="74"/>
      <c r="AD594" s="80" t="s">
        <v>1826</v>
      </c>
      <c r="AE594" s="80" t="s">
        <v>2783</v>
      </c>
      <c r="AF594" s="80"/>
      <c r="AG594" s="80" t="s">
        <v>4269</v>
      </c>
      <c r="AH594" s="80" t="s">
        <v>5147</v>
      </c>
      <c r="AI594" s="80">
        <v>13856</v>
      </c>
      <c r="AJ594" s="80">
        <v>0</v>
      </c>
      <c r="AK594" s="80">
        <v>0</v>
      </c>
      <c r="AL594" s="80">
        <v>0</v>
      </c>
      <c r="AM594" s="80" t="s">
        <v>5614</v>
      </c>
      <c r="AN594" s="102" t="str">
        <f>HYPERLINK("https://www.youtube.com/watch?v=bvQdCagVJrk")</f>
        <v>https://www.youtube.com/watch?v=bvQdCagVJrk</v>
      </c>
      <c r="AO594" s="2"/>
      <c r="AP594" s="3"/>
      <c r="AQ594" s="3"/>
      <c r="AR594" s="3"/>
      <c r="AS594" s="3"/>
    </row>
    <row r="595" spans="1:45" ht="15">
      <c r="A595" s="66" t="s">
        <v>774</v>
      </c>
      <c r="B595" s="67"/>
      <c r="C595" s="67"/>
      <c r="D595" s="68"/>
      <c r="E595" s="70"/>
      <c r="F595" s="100" t="str">
        <f>HYPERLINK("https://i.ytimg.com/vi/T8U3DB31uC4/default.jpg")</f>
        <v>https://i.ytimg.com/vi/T8U3DB31uC4/default.jpg</v>
      </c>
      <c r="G595" s="67"/>
      <c r="H595" s="71"/>
      <c r="I595" s="72"/>
      <c r="J595" s="72"/>
      <c r="K595" s="71" t="s">
        <v>1827</v>
      </c>
      <c r="L595" s="75"/>
      <c r="M595" s="76">
        <v>6647.072265625</v>
      </c>
      <c r="N595" s="76">
        <v>7002.13134765625</v>
      </c>
      <c r="O595" s="77"/>
      <c r="P595" s="78"/>
      <c r="Q595" s="78"/>
      <c r="R595" s="82"/>
      <c r="S595" s="82"/>
      <c r="T595" s="82"/>
      <c r="U595" s="82"/>
      <c r="V595" s="52"/>
      <c r="W595" s="52"/>
      <c r="X595" s="52"/>
      <c r="Y595" s="52"/>
      <c r="Z595" s="51"/>
      <c r="AA595" s="73">
        <v>595</v>
      </c>
      <c r="AB595" s="73"/>
      <c r="AC595" s="74"/>
      <c r="AD595" s="80" t="s">
        <v>1827</v>
      </c>
      <c r="AE595" s="80" t="s">
        <v>2784</v>
      </c>
      <c r="AF595" s="80" t="s">
        <v>3538</v>
      </c>
      <c r="AG595" s="80" t="s">
        <v>4270</v>
      </c>
      <c r="AH595" s="80" t="s">
        <v>5148</v>
      </c>
      <c r="AI595" s="80">
        <v>24319</v>
      </c>
      <c r="AJ595" s="80">
        <v>38</v>
      </c>
      <c r="AK595" s="80">
        <v>552</v>
      </c>
      <c r="AL595" s="80">
        <v>10</v>
      </c>
      <c r="AM595" s="80" t="s">
        <v>5614</v>
      </c>
      <c r="AN595" s="102" t="str">
        <f>HYPERLINK("https://www.youtube.com/watch?v=T8U3DB31uC4")</f>
        <v>https://www.youtube.com/watch?v=T8U3DB31uC4</v>
      </c>
      <c r="AO595" s="2"/>
      <c r="AP595" s="3"/>
      <c r="AQ595" s="3"/>
      <c r="AR595" s="3"/>
      <c r="AS595" s="3"/>
    </row>
    <row r="596" spans="1:45" ht="15">
      <c r="A596" s="66" t="s">
        <v>775</v>
      </c>
      <c r="B596" s="67"/>
      <c r="C596" s="67"/>
      <c r="D596" s="68"/>
      <c r="E596" s="70"/>
      <c r="F596" s="100" t="str">
        <f>HYPERLINK("https://i.ytimg.com/vi/wXn5DGtbIWo/default.jpg")</f>
        <v>https://i.ytimg.com/vi/wXn5DGtbIWo/default.jpg</v>
      </c>
      <c r="G596" s="67"/>
      <c r="H596" s="71"/>
      <c r="I596" s="72"/>
      <c r="J596" s="72"/>
      <c r="K596" s="71" t="s">
        <v>1828</v>
      </c>
      <c r="L596" s="75"/>
      <c r="M596" s="76">
        <v>5284.52734375</v>
      </c>
      <c r="N596" s="76">
        <v>7088.60546875</v>
      </c>
      <c r="O596" s="77"/>
      <c r="P596" s="78"/>
      <c r="Q596" s="78"/>
      <c r="R596" s="82"/>
      <c r="S596" s="82"/>
      <c r="T596" s="82"/>
      <c r="U596" s="82"/>
      <c r="V596" s="52"/>
      <c r="W596" s="52"/>
      <c r="X596" s="52"/>
      <c r="Y596" s="52"/>
      <c r="Z596" s="51"/>
      <c r="AA596" s="73">
        <v>596</v>
      </c>
      <c r="AB596" s="73"/>
      <c r="AC596" s="74"/>
      <c r="AD596" s="80" t="s">
        <v>1828</v>
      </c>
      <c r="AE596" s="80" t="s">
        <v>2785</v>
      </c>
      <c r="AF596" s="80" t="s">
        <v>3539</v>
      </c>
      <c r="AG596" s="80" t="s">
        <v>4271</v>
      </c>
      <c r="AH596" s="80" t="s">
        <v>5149</v>
      </c>
      <c r="AI596" s="80">
        <v>8694</v>
      </c>
      <c r="AJ596" s="80">
        <v>8</v>
      </c>
      <c r="AK596" s="80">
        <v>253</v>
      </c>
      <c r="AL596" s="80">
        <v>11</v>
      </c>
      <c r="AM596" s="80" t="s">
        <v>5614</v>
      </c>
      <c r="AN596" s="102" t="str">
        <f>HYPERLINK("https://www.youtube.com/watch?v=wXn5DGtbIWo")</f>
        <v>https://www.youtube.com/watch?v=wXn5DGtbIWo</v>
      </c>
      <c r="AO596" s="2"/>
      <c r="AP596" s="3"/>
      <c r="AQ596" s="3"/>
      <c r="AR596" s="3"/>
      <c r="AS596" s="3"/>
    </row>
    <row r="597" spans="1:45" ht="15">
      <c r="A597" s="66" t="s">
        <v>776</v>
      </c>
      <c r="B597" s="67"/>
      <c r="C597" s="67"/>
      <c r="D597" s="68"/>
      <c r="E597" s="70"/>
      <c r="F597" s="100" t="str">
        <f>HYPERLINK("https://i.ytimg.com/vi/3ud6ZBhekw0/default.jpg")</f>
        <v>https://i.ytimg.com/vi/3ud6ZBhekw0/default.jpg</v>
      </c>
      <c r="G597" s="67"/>
      <c r="H597" s="71"/>
      <c r="I597" s="72"/>
      <c r="J597" s="72"/>
      <c r="K597" s="71" t="s">
        <v>1829</v>
      </c>
      <c r="L597" s="75"/>
      <c r="M597" s="76">
        <v>6068.5556640625</v>
      </c>
      <c r="N597" s="76">
        <v>7132.2724609375</v>
      </c>
      <c r="O597" s="77"/>
      <c r="P597" s="78"/>
      <c r="Q597" s="78"/>
      <c r="R597" s="82"/>
      <c r="S597" s="82"/>
      <c r="T597" s="82"/>
      <c r="U597" s="82"/>
      <c r="V597" s="52"/>
      <c r="W597" s="52"/>
      <c r="X597" s="52"/>
      <c r="Y597" s="52"/>
      <c r="Z597" s="51"/>
      <c r="AA597" s="73">
        <v>597</v>
      </c>
      <c r="AB597" s="73"/>
      <c r="AC597" s="74"/>
      <c r="AD597" s="80" t="s">
        <v>1829</v>
      </c>
      <c r="AE597" s="80" t="s">
        <v>2786</v>
      </c>
      <c r="AF597" s="80" t="s">
        <v>3540</v>
      </c>
      <c r="AG597" s="80" t="s">
        <v>4272</v>
      </c>
      <c r="AH597" s="80" t="s">
        <v>5150</v>
      </c>
      <c r="AI597" s="80">
        <v>5503</v>
      </c>
      <c r="AJ597" s="80">
        <v>5</v>
      </c>
      <c r="AK597" s="80">
        <v>87</v>
      </c>
      <c r="AL597" s="80">
        <v>1</v>
      </c>
      <c r="AM597" s="80" t="s">
        <v>5614</v>
      </c>
      <c r="AN597" s="102" t="str">
        <f>HYPERLINK("https://www.youtube.com/watch?v=3ud6ZBhekw0")</f>
        <v>https://www.youtube.com/watch?v=3ud6ZBhekw0</v>
      </c>
      <c r="AO597" s="2"/>
      <c r="AP597" s="3"/>
      <c r="AQ597" s="3"/>
      <c r="AR597" s="3"/>
      <c r="AS597" s="3"/>
    </row>
    <row r="598" spans="1:45" ht="15">
      <c r="A598" s="66" t="s">
        <v>777</v>
      </c>
      <c r="B598" s="67"/>
      <c r="C598" s="67"/>
      <c r="D598" s="68"/>
      <c r="E598" s="70"/>
      <c r="F598" s="100" t="str">
        <f>HYPERLINK("https://i.ytimg.com/vi/wigFF7_cQJM/default.jpg")</f>
        <v>https://i.ytimg.com/vi/wigFF7_cQJM/default.jpg</v>
      </c>
      <c r="G598" s="67"/>
      <c r="H598" s="71"/>
      <c r="I598" s="72"/>
      <c r="J598" s="72"/>
      <c r="K598" s="71" t="s">
        <v>1830</v>
      </c>
      <c r="L598" s="75"/>
      <c r="M598" s="76">
        <v>7735.49658203125</v>
      </c>
      <c r="N598" s="76">
        <v>6839.76513671875</v>
      </c>
      <c r="O598" s="77"/>
      <c r="P598" s="78"/>
      <c r="Q598" s="78"/>
      <c r="R598" s="82"/>
      <c r="S598" s="82"/>
      <c r="T598" s="82"/>
      <c r="U598" s="82"/>
      <c r="V598" s="52"/>
      <c r="W598" s="52"/>
      <c r="X598" s="52"/>
      <c r="Y598" s="52"/>
      <c r="Z598" s="51"/>
      <c r="AA598" s="73">
        <v>598</v>
      </c>
      <c r="AB598" s="73"/>
      <c r="AC598" s="74"/>
      <c r="AD598" s="80" t="s">
        <v>1830</v>
      </c>
      <c r="AE598" s="80" t="s">
        <v>2787</v>
      </c>
      <c r="AF598" s="80"/>
      <c r="AG598" s="80" t="s">
        <v>4273</v>
      </c>
      <c r="AH598" s="80" t="s">
        <v>5151</v>
      </c>
      <c r="AI598" s="80">
        <v>2282</v>
      </c>
      <c r="AJ598" s="80">
        <v>6</v>
      </c>
      <c r="AK598" s="80">
        <v>41</v>
      </c>
      <c r="AL598" s="80">
        <v>2</v>
      </c>
      <c r="AM598" s="80" t="s">
        <v>5614</v>
      </c>
      <c r="AN598" s="102" t="str">
        <f>HYPERLINK("https://www.youtube.com/watch?v=wigFF7_cQJM")</f>
        <v>https://www.youtube.com/watch?v=wigFF7_cQJM</v>
      </c>
      <c r="AO598" s="2"/>
      <c r="AP598" s="3"/>
      <c r="AQ598" s="3"/>
      <c r="AR598" s="3"/>
      <c r="AS598" s="3"/>
    </row>
    <row r="599" spans="1:45" ht="15">
      <c r="A599" s="66" t="s">
        <v>778</v>
      </c>
      <c r="B599" s="67"/>
      <c r="C599" s="67"/>
      <c r="D599" s="68"/>
      <c r="E599" s="70"/>
      <c r="F599" s="100" t="str">
        <f>HYPERLINK("https://i.ytimg.com/vi/HnQHxmx2T8o/default.jpg")</f>
        <v>https://i.ytimg.com/vi/HnQHxmx2T8o/default.jpg</v>
      </c>
      <c r="G599" s="67"/>
      <c r="H599" s="71"/>
      <c r="I599" s="72"/>
      <c r="J599" s="72"/>
      <c r="K599" s="71" t="s">
        <v>1831</v>
      </c>
      <c r="L599" s="75"/>
      <c r="M599" s="76">
        <v>8341.76953125</v>
      </c>
      <c r="N599" s="76">
        <v>6545.08935546875</v>
      </c>
      <c r="O599" s="77"/>
      <c r="P599" s="78"/>
      <c r="Q599" s="78"/>
      <c r="R599" s="82"/>
      <c r="S599" s="82"/>
      <c r="T599" s="82"/>
      <c r="U599" s="82"/>
      <c r="V599" s="52"/>
      <c r="W599" s="52"/>
      <c r="X599" s="52"/>
      <c r="Y599" s="52"/>
      <c r="Z599" s="51"/>
      <c r="AA599" s="73">
        <v>599</v>
      </c>
      <c r="AB599" s="73"/>
      <c r="AC599" s="74"/>
      <c r="AD599" s="80" t="s">
        <v>1831</v>
      </c>
      <c r="AE599" s="80" t="s">
        <v>2723</v>
      </c>
      <c r="AF599" s="80"/>
      <c r="AG599" s="80" t="s">
        <v>4094</v>
      </c>
      <c r="AH599" s="80" t="s">
        <v>5152</v>
      </c>
      <c r="AI599" s="80">
        <v>39295</v>
      </c>
      <c r="AJ599" s="80">
        <v>28</v>
      </c>
      <c r="AK599" s="80">
        <v>290</v>
      </c>
      <c r="AL599" s="80">
        <v>31</v>
      </c>
      <c r="AM599" s="80" t="s">
        <v>5614</v>
      </c>
      <c r="AN599" s="102" t="str">
        <f>HYPERLINK("https://www.youtube.com/watch?v=HnQHxmx2T8o")</f>
        <v>https://www.youtube.com/watch?v=HnQHxmx2T8o</v>
      </c>
      <c r="AO599" s="2"/>
      <c r="AP599" s="3"/>
      <c r="AQ599" s="3"/>
      <c r="AR599" s="3"/>
      <c r="AS599" s="3"/>
    </row>
    <row r="600" spans="1:45" ht="15">
      <c r="A600" s="66" t="s">
        <v>779</v>
      </c>
      <c r="B600" s="67"/>
      <c r="C600" s="67"/>
      <c r="D600" s="68"/>
      <c r="E600" s="70"/>
      <c r="F600" s="100" t="str">
        <f>HYPERLINK("https://i.ytimg.com/vi/YXidbKNxt5U/default.jpg")</f>
        <v>https://i.ytimg.com/vi/YXidbKNxt5U/default.jpg</v>
      </c>
      <c r="G600" s="67"/>
      <c r="H600" s="71"/>
      <c r="I600" s="72"/>
      <c r="J600" s="72"/>
      <c r="K600" s="71" t="s">
        <v>1832</v>
      </c>
      <c r="L600" s="75"/>
      <c r="M600" s="76">
        <v>7667.80517578125</v>
      </c>
      <c r="N600" s="76">
        <v>6944.97998046875</v>
      </c>
      <c r="O600" s="77"/>
      <c r="P600" s="78"/>
      <c r="Q600" s="78"/>
      <c r="R600" s="82"/>
      <c r="S600" s="82"/>
      <c r="T600" s="82"/>
      <c r="U600" s="82"/>
      <c r="V600" s="52"/>
      <c r="W600" s="52"/>
      <c r="X600" s="52"/>
      <c r="Y600" s="52"/>
      <c r="Z600" s="51"/>
      <c r="AA600" s="73">
        <v>600</v>
      </c>
      <c r="AB600" s="73"/>
      <c r="AC600" s="74"/>
      <c r="AD600" s="80" t="s">
        <v>1832</v>
      </c>
      <c r="AE600" s="80" t="s">
        <v>2723</v>
      </c>
      <c r="AF600" s="80"/>
      <c r="AG600" s="80" t="s">
        <v>4094</v>
      </c>
      <c r="AH600" s="80" t="s">
        <v>5153</v>
      </c>
      <c r="AI600" s="80">
        <v>13880</v>
      </c>
      <c r="AJ600" s="80">
        <v>16</v>
      </c>
      <c r="AK600" s="80">
        <v>241</v>
      </c>
      <c r="AL600" s="80">
        <v>22</v>
      </c>
      <c r="AM600" s="80" t="s">
        <v>5614</v>
      </c>
      <c r="AN600" s="102" t="str">
        <f>HYPERLINK("https://www.youtube.com/watch?v=YXidbKNxt5U")</f>
        <v>https://www.youtube.com/watch?v=YXidbKNxt5U</v>
      </c>
      <c r="AO600" s="2"/>
      <c r="AP600" s="3"/>
      <c r="AQ600" s="3"/>
      <c r="AR600" s="3"/>
      <c r="AS600" s="3"/>
    </row>
    <row r="601" spans="1:45" ht="15">
      <c r="A601" s="66" t="s">
        <v>780</v>
      </c>
      <c r="B601" s="67"/>
      <c r="C601" s="67"/>
      <c r="D601" s="68"/>
      <c r="E601" s="70"/>
      <c r="F601" s="100" t="str">
        <f>HYPERLINK("https://i.ytimg.com/vi/TVQ0aOyMmsc/default.jpg")</f>
        <v>https://i.ytimg.com/vi/TVQ0aOyMmsc/default.jpg</v>
      </c>
      <c r="G601" s="67"/>
      <c r="H601" s="71"/>
      <c r="I601" s="72"/>
      <c r="J601" s="72"/>
      <c r="K601" s="71" t="s">
        <v>1833</v>
      </c>
      <c r="L601" s="75"/>
      <c r="M601" s="76">
        <v>7886.8154296875</v>
      </c>
      <c r="N601" s="76">
        <v>6845.166015625</v>
      </c>
      <c r="O601" s="77"/>
      <c r="P601" s="78"/>
      <c r="Q601" s="78"/>
      <c r="R601" s="82"/>
      <c r="S601" s="82"/>
      <c r="T601" s="82"/>
      <c r="U601" s="82"/>
      <c r="V601" s="52"/>
      <c r="W601" s="52"/>
      <c r="X601" s="52"/>
      <c r="Y601" s="52"/>
      <c r="Z601" s="51"/>
      <c r="AA601" s="73">
        <v>601</v>
      </c>
      <c r="AB601" s="73"/>
      <c r="AC601" s="74"/>
      <c r="AD601" s="80" t="s">
        <v>1833</v>
      </c>
      <c r="AE601" s="80" t="s">
        <v>2788</v>
      </c>
      <c r="AF601" s="80"/>
      <c r="AG601" s="80" t="s">
        <v>4274</v>
      </c>
      <c r="AH601" s="80" t="s">
        <v>5154</v>
      </c>
      <c r="AI601" s="80">
        <v>4329</v>
      </c>
      <c r="AJ601" s="80">
        <v>37</v>
      </c>
      <c r="AK601" s="80">
        <v>194</v>
      </c>
      <c r="AL601" s="80">
        <v>7</v>
      </c>
      <c r="AM601" s="80" t="s">
        <v>5614</v>
      </c>
      <c r="AN601" s="102" t="str">
        <f>HYPERLINK("https://www.youtube.com/watch?v=TVQ0aOyMmsc")</f>
        <v>https://www.youtube.com/watch?v=TVQ0aOyMmsc</v>
      </c>
      <c r="AO601" s="2"/>
      <c r="AP601" s="3"/>
      <c r="AQ601" s="3"/>
      <c r="AR601" s="3"/>
      <c r="AS601" s="3"/>
    </row>
    <row r="602" spans="1:45" ht="15">
      <c r="A602" s="66" t="s">
        <v>781</v>
      </c>
      <c r="B602" s="67"/>
      <c r="C602" s="67"/>
      <c r="D602" s="68"/>
      <c r="E602" s="70"/>
      <c r="F602" s="100" t="str">
        <f>HYPERLINK("https://i.ytimg.com/vi/u3OUA36oV9M/default.jpg")</f>
        <v>https://i.ytimg.com/vi/u3OUA36oV9M/default.jpg</v>
      </c>
      <c r="G602" s="67"/>
      <c r="H602" s="71"/>
      <c r="I602" s="72"/>
      <c r="J602" s="72"/>
      <c r="K602" s="71" t="s">
        <v>1834</v>
      </c>
      <c r="L602" s="75"/>
      <c r="M602" s="76">
        <v>8760.1650390625</v>
      </c>
      <c r="N602" s="76">
        <v>6139.45751953125</v>
      </c>
      <c r="O602" s="77"/>
      <c r="P602" s="78"/>
      <c r="Q602" s="78"/>
      <c r="R602" s="82"/>
      <c r="S602" s="82"/>
      <c r="T602" s="82"/>
      <c r="U602" s="82"/>
      <c r="V602" s="52"/>
      <c r="W602" s="52"/>
      <c r="X602" s="52"/>
      <c r="Y602" s="52"/>
      <c r="Z602" s="51"/>
      <c r="AA602" s="73">
        <v>602</v>
      </c>
      <c r="AB602" s="73"/>
      <c r="AC602" s="74"/>
      <c r="AD602" s="80" t="s">
        <v>1834</v>
      </c>
      <c r="AE602" s="80" t="s">
        <v>2789</v>
      </c>
      <c r="AF602" s="80" t="s">
        <v>3541</v>
      </c>
      <c r="AG602" s="80" t="s">
        <v>4275</v>
      </c>
      <c r="AH602" s="80" t="s">
        <v>5155</v>
      </c>
      <c r="AI602" s="80">
        <v>5379</v>
      </c>
      <c r="AJ602" s="80">
        <v>21</v>
      </c>
      <c r="AK602" s="80">
        <v>183</v>
      </c>
      <c r="AL602" s="80">
        <v>18</v>
      </c>
      <c r="AM602" s="80" t="s">
        <v>5614</v>
      </c>
      <c r="AN602" s="102" t="str">
        <f>HYPERLINK("https://www.youtube.com/watch?v=u3OUA36oV9M")</f>
        <v>https://www.youtube.com/watch?v=u3OUA36oV9M</v>
      </c>
      <c r="AO602" s="2"/>
      <c r="AP602" s="3"/>
      <c r="AQ602" s="3"/>
      <c r="AR602" s="3"/>
      <c r="AS602" s="3"/>
    </row>
    <row r="603" spans="1:45" ht="15">
      <c r="A603" s="66" t="s">
        <v>782</v>
      </c>
      <c r="B603" s="67"/>
      <c r="C603" s="67"/>
      <c r="D603" s="68"/>
      <c r="E603" s="70"/>
      <c r="F603" s="100" t="str">
        <f>HYPERLINK("https://i.ytimg.com/vi/stuigvSWir0/default.jpg")</f>
        <v>https://i.ytimg.com/vi/stuigvSWir0/default.jpg</v>
      </c>
      <c r="G603" s="67"/>
      <c r="H603" s="71"/>
      <c r="I603" s="72"/>
      <c r="J603" s="72"/>
      <c r="K603" s="71" t="s">
        <v>1835</v>
      </c>
      <c r="L603" s="75"/>
      <c r="M603" s="76">
        <v>8142.0361328125</v>
      </c>
      <c r="N603" s="76">
        <v>6683.98046875</v>
      </c>
      <c r="O603" s="77"/>
      <c r="P603" s="78"/>
      <c r="Q603" s="78"/>
      <c r="R603" s="82"/>
      <c r="S603" s="82"/>
      <c r="T603" s="82"/>
      <c r="U603" s="82"/>
      <c r="V603" s="52"/>
      <c r="W603" s="52"/>
      <c r="X603" s="52"/>
      <c r="Y603" s="52"/>
      <c r="Z603" s="51"/>
      <c r="AA603" s="73">
        <v>603</v>
      </c>
      <c r="AB603" s="73"/>
      <c r="AC603" s="74"/>
      <c r="AD603" s="80" t="s">
        <v>1835</v>
      </c>
      <c r="AE603" s="80"/>
      <c r="AF603" s="80"/>
      <c r="AG603" s="80" t="s">
        <v>4276</v>
      </c>
      <c r="AH603" s="80" t="s">
        <v>5156</v>
      </c>
      <c r="AI603" s="80">
        <v>1100</v>
      </c>
      <c r="AJ603" s="80">
        <v>6</v>
      </c>
      <c r="AK603" s="80">
        <v>63</v>
      </c>
      <c r="AL603" s="80">
        <v>5</v>
      </c>
      <c r="AM603" s="80" t="s">
        <v>5614</v>
      </c>
      <c r="AN603" s="102" t="str">
        <f>HYPERLINK("https://www.youtube.com/watch?v=stuigvSWir0")</f>
        <v>https://www.youtube.com/watch?v=stuigvSWir0</v>
      </c>
      <c r="AO603" s="2"/>
      <c r="AP603" s="3"/>
      <c r="AQ603" s="3"/>
      <c r="AR603" s="3"/>
      <c r="AS603" s="3"/>
    </row>
    <row r="604" spans="1:45" ht="15">
      <c r="A604" s="66" t="s">
        <v>783</v>
      </c>
      <c r="B604" s="67"/>
      <c r="C604" s="67"/>
      <c r="D604" s="68"/>
      <c r="E604" s="70"/>
      <c r="F604" s="100" t="str">
        <f>HYPERLINK("https://i.ytimg.com/vi/PK1LUzGBT08/default.jpg")</f>
        <v>https://i.ytimg.com/vi/PK1LUzGBT08/default.jpg</v>
      </c>
      <c r="G604" s="67"/>
      <c r="H604" s="71"/>
      <c r="I604" s="72"/>
      <c r="J604" s="72"/>
      <c r="K604" s="71" t="s">
        <v>1836</v>
      </c>
      <c r="L604" s="75"/>
      <c r="M604" s="76">
        <v>8591.033203125</v>
      </c>
      <c r="N604" s="76">
        <v>6318.69580078125</v>
      </c>
      <c r="O604" s="77"/>
      <c r="P604" s="78"/>
      <c r="Q604" s="78"/>
      <c r="R604" s="82"/>
      <c r="S604" s="82"/>
      <c r="T604" s="82"/>
      <c r="U604" s="82"/>
      <c r="V604" s="52"/>
      <c r="W604" s="52"/>
      <c r="X604" s="52"/>
      <c r="Y604" s="52"/>
      <c r="Z604" s="51"/>
      <c r="AA604" s="73">
        <v>604</v>
      </c>
      <c r="AB604" s="73"/>
      <c r="AC604" s="74"/>
      <c r="AD604" s="80" t="s">
        <v>1836</v>
      </c>
      <c r="AE604" s="80" t="s">
        <v>2790</v>
      </c>
      <c r="AF604" s="80"/>
      <c r="AG604" s="80" t="s">
        <v>4273</v>
      </c>
      <c r="AH604" s="80" t="s">
        <v>5157</v>
      </c>
      <c r="AI604" s="80">
        <v>6321</v>
      </c>
      <c r="AJ604" s="80">
        <v>30</v>
      </c>
      <c r="AK604" s="80">
        <v>119</v>
      </c>
      <c r="AL604" s="80">
        <v>6</v>
      </c>
      <c r="AM604" s="80" t="s">
        <v>5614</v>
      </c>
      <c r="AN604" s="102" t="str">
        <f>HYPERLINK("https://www.youtube.com/watch?v=PK1LUzGBT08")</f>
        <v>https://www.youtube.com/watch?v=PK1LUzGBT08</v>
      </c>
      <c r="AO604" s="2"/>
      <c r="AP604" s="3"/>
      <c r="AQ604" s="3"/>
      <c r="AR604" s="3"/>
      <c r="AS604" s="3"/>
    </row>
    <row r="605" spans="1:45" ht="15">
      <c r="A605" s="66" t="s">
        <v>784</v>
      </c>
      <c r="B605" s="67"/>
      <c r="C605" s="67"/>
      <c r="D605" s="68"/>
      <c r="E605" s="70"/>
      <c r="F605" s="100" t="str">
        <f>HYPERLINK("https://i.ytimg.com/vi/A7ER6TiAxEU/default.jpg")</f>
        <v>https://i.ytimg.com/vi/A7ER6TiAxEU/default.jpg</v>
      </c>
      <c r="G605" s="67"/>
      <c r="H605" s="71"/>
      <c r="I605" s="72"/>
      <c r="J605" s="72"/>
      <c r="K605" s="71" t="s">
        <v>1837</v>
      </c>
      <c r="L605" s="75"/>
      <c r="M605" s="76">
        <v>8411.501953125</v>
      </c>
      <c r="N605" s="76">
        <v>6446.048828125</v>
      </c>
      <c r="O605" s="77"/>
      <c r="P605" s="78"/>
      <c r="Q605" s="78"/>
      <c r="R605" s="82"/>
      <c r="S605" s="82"/>
      <c r="T605" s="82"/>
      <c r="U605" s="82"/>
      <c r="V605" s="52"/>
      <c r="W605" s="52"/>
      <c r="X605" s="52"/>
      <c r="Y605" s="52"/>
      <c r="Z605" s="51"/>
      <c r="AA605" s="73">
        <v>605</v>
      </c>
      <c r="AB605" s="73"/>
      <c r="AC605" s="74"/>
      <c r="AD605" s="80" t="s">
        <v>1837</v>
      </c>
      <c r="AE605" s="80" t="s">
        <v>2791</v>
      </c>
      <c r="AF605" s="80" t="s">
        <v>3542</v>
      </c>
      <c r="AG605" s="80" t="s">
        <v>4277</v>
      </c>
      <c r="AH605" s="80" t="s">
        <v>5158</v>
      </c>
      <c r="AI605" s="80">
        <v>6633</v>
      </c>
      <c r="AJ605" s="80">
        <v>13</v>
      </c>
      <c r="AK605" s="80">
        <v>145</v>
      </c>
      <c r="AL605" s="80">
        <v>6</v>
      </c>
      <c r="AM605" s="80" t="s">
        <v>5614</v>
      </c>
      <c r="AN605" s="102" t="str">
        <f>HYPERLINK("https://www.youtube.com/watch?v=A7ER6TiAxEU")</f>
        <v>https://www.youtube.com/watch?v=A7ER6TiAxEU</v>
      </c>
      <c r="AO605" s="2"/>
      <c r="AP605" s="3"/>
      <c r="AQ605" s="3"/>
      <c r="AR605" s="3"/>
      <c r="AS605" s="3"/>
    </row>
    <row r="606" spans="1:45" ht="15">
      <c r="A606" s="66" t="s">
        <v>785</v>
      </c>
      <c r="B606" s="67"/>
      <c r="C606" s="67"/>
      <c r="D606" s="68"/>
      <c r="E606" s="70"/>
      <c r="F606" s="100" t="str">
        <f>HYPERLINK("https://i.ytimg.com/vi/-GrAZAgIar8/default.jpg")</f>
        <v>https://i.ytimg.com/vi/-GrAZAgIar8/default.jpg</v>
      </c>
      <c r="G606" s="67"/>
      <c r="H606" s="71"/>
      <c r="I606" s="72"/>
      <c r="J606" s="72"/>
      <c r="K606" s="71" t="s">
        <v>1838</v>
      </c>
      <c r="L606" s="75"/>
      <c r="M606" s="76">
        <v>8652.9453125</v>
      </c>
      <c r="N606" s="76">
        <v>6223.5341796875</v>
      </c>
      <c r="O606" s="77"/>
      <c r="P606" s="78"/>
      <c r="Q606" s="78"/>
      <c r="R606" s="82"/>
      <c r="S606" s="82"/>
      <c r="T606" s="82"/>
      <c r="U606" s="82"/>
      <c r="V606" s="52"/>
      <c r="W606" s="52"/>
      <c r="X606" s="52"/>
      <c r="Y606" s="52"/>
      <c r="Z606" s="51"/>
      <c r="AA606" s="73">
        <v>606</v>
      </c>
      <c r="AB606" s="73"/>
      <c r="AC606" s="74"/>
      <c r="AD606" s="80" t="s">
        <v>1838</v>
      </c>
      <c r="AE606" s="80" t="s">
        <v>2792</v>
      </c>
      <c r="AF606" s="80" t="s">
        <v>3543</v>
      </c>
      <c r="AG606" s="80" t="s">
        <v>4278</v>
      </c>
      <c r="AH606" s="80" t="s">
        <v>5159</v>
      </c>
      <c r="AI606" s="80">
        <v>26843</v>
      </c>
      <c r="AJ606" s="80">
        <v>4</v>
      </c>
      <c r="AK606" s="80">
        <v>64</v>
      </c>
      <c r="AL606" s="80">
        <v>7</v>
      </c>
      <c r="AM606" s="80" t="s">
        <v>5614</v>
      </c>
      <c r="AN606" s="102" t="str">
        <f>HYPERLINK("https://www.youtube.com/watch?v=-GrAZAgIar8")</f>
        <v>https://www.youtube.com/watch?v=-GrAZAgIar8</v>
      </c>
      <c r="AO606" s="2"/>
      <c r="AP606" s="3"/>
      <c r="AQ606" s="3"/>
      <c r="AR606" s="3"/>
      <c r="AS606" s="3"/>
    </row>
    <row r="607" spans="1:45" ht="15">
      <c r="A607" s="66" t="s">
        <v>786</v>
      </c>
      <c r="B607" s="67"/>
      <c r="C607" s="67"/>
      <c r="D607" s="68"/>
      <c r="E607" s="70"/>
      <c r="F607" s="100" t="str">
        <f>HYPERLINK("https://i.ytimg.com/vi/SkpUnKFtado/default.jpg")</f>
        <v>https://i.ytimg.com/vi/SkpUnKFtado/default.jpg</v>
      </c>
      <c r="G607" s="67"/>
      <c r="H607" s="71"/>
      <c r="I607" s="72"/>
      <c r="J607" s="72"/>
      <c r="K607" s="71" t="s">
        <v>1839</v>
      </c>
      <c r="L607" s="75"/>
      <c r="M607" s="76">
        <v>8549.708984375</v>
      </c>
      <c r="N607" s="76">
        <v>6359.158203125</v>
      </c>
      <c r="O607" s="77"/>
      <c r="P607" s="78"/>
      <c r="Q607" s="78"/>
      <c r="R607" s="82"/>
      <c r="S607" s="82"/>
      <c r="T607" s="82"/>
      <c r="U607" s="82"/>
      <c r="V607" s="52"/>
      <c r="W607" s="52"/>
      <c r="X607" s="52"/>
      <c r="Y607" s="52"/>
      <c r="Z607" s="51"/>
      <c r="AA607" s="73">
        <v>607</v>
      </c>
      <c r="AB607" s="73"/>
      <c r="AC607" s="74"/>
      <c r="AD607" s="80" t="s">
        <v>1839</v>
      </c>
      <c r="AE607" s="80"/>
      <c r="AF607" s="80" t="s">
        <v>1839</v>
      </c>
      <c r="AG607" s="80" t="s">
        <v>4279</v>
      </c>
      <c r="AH607" s="80" t="s">
        <v>5160</v>
      </c>
      <c r="AI607" s="80">
        <v>89525</v>
      </c>
      <c r="AJ607" s="80">
        <v>12</v>
      </c>
      <c r="AK607" s="80">
        <v>194</v>
      </c>
      <c r="AL607" s="80">
        <v>31</v>
      </c>
      <c r="AM607" s="80" t="s">
        <v>5614</v>
      </c>
      <c r="AN607" s="102" t="str">
        <f>HYPERLINK("https://www.youtube.com/watch?v=SkpUnKFtado")</f>
        <v>https://www.youtube.com/watch?v=SkpUnKFtado</v>
      </c>
      <c r="AO607" s="2"/>
      <c r="AP607" s="3"/>
      <c r="AQ607" s="3"/>
      <c r="AR607" s="3"/>
      <c r="AS607" s="3"/>
    </row>
    <row r="608" spans="1:45" ht="15">
      <c r="A608" s="66" t="s">
        <v>787</v>
      </c>
      <c r="B608" s="67"/>
      <c r="C608" s="67"/>
      <c r="D608" s="68"/>
      <c r="E608" s="70"/>
      <c r="F608" s="100" t="str">
        <f>HYPERLINK("https://i.ytimg.com/vi/6yZlEsxgEhk/default.jpg")</f>
        <v>https://i.ytimg.com/vi/6yZlEsxgEhk/default.jpg</v>
      </c>
      <c r="G608" s="67"/>
      <c r="H608" s="71"/>
      <c r="I608" s="72"/>
      <c r="J608" s="72"/>
      <c r="K608" s="71" t="s">
        <v>1840</v>
      </c>
      <c r="L608" s="75"/>
      <c r="M608" s="76">
        <v>8266.259765625</v>
      </c>
      <c r="N608" s="76">
        <v>6591.69873046875</v>
      </c>
      <c r="O608" s="77"/>
      <c r="P608" s="78"/>
      <c r="Q608" s="78"/>
      <c r="R608" s="82"/>
      <c r="S608" s="82"/>
      <c r="T608" s="82"/>
      <c r="U608" s="82"/>
      <c r="V608" s="52"/>
      <c r="W608" s="52"/>
      <c r="X608" s="52"/>
      <c r="Y608" s="52"/>
      <c r="Z608" s="51"/>
      <c r="AA608" s="73">
        <v>608</v>
      </c>
      <c r="AB608" s="73"/>
      <c r="AC608" s="74"/>
      <c r="AD608" s="80" t="s">
        <v>1840</v>
      </c>
      <c r="AE608" s="80" t="s">
        <v>2793</v>
      </c>
      <c r="AF608" s="80" t="s">
        <v>3544</v>
      </c>
      <c r="AG608" s="80" t="s">
        <v>4280</v>
      </c>
      <c r="AH608" s="80" t="s">
        <v>5161</v>
      </c>
      <c r="AI608" s="80">
        <v>1328304</v>
      </c>
      <c r="AJ608" s="80">
        <v>496</v>
      </c>
      <c r="AK608" s="80">
        <v>4676</v>
      </c>
      <c r="AL608" s="80">
        <v>322</v>
      </c>
      <c r="AM608" s="80" t="s">
        <v>5614</v>
      </c>
      <c r="AN608" s="102" t="str">
        <f>HYPERLINK("https://www.youtube.com/watch?v=6yZlEsxgEhk")</f>
        <v>https://www.youtube.com/watch?v=6yZlEsxgEhk</v>
      </c>
      <c r="AO608" s="2"/>
      <c r="AP608" s="3"/>
      <c r="AQ608" s="3"/>
      <c r="AR608" s="3"/>
      <c r="AS608" s="3"/>
    </row>
    <row r="609" spans="1:45" ht="15">
      <c r="A609" s="66" t="s">
        <v>788</v>
      </c>
      <c r="B609" s="67"/>
      <c r="C609" s="67"/>
      <c r="D609" s="68"/>
      <c r="E609" s="70"/>
      <c r="F609" s="100" t="str">
        <f>HYPERLINK("https://i.ytimg.com/vi/DnQ_5GqKMZU/default.jpg")</f>
        <v>https://i.ytimg.com/vi/DnQ_5GqKMZU/default.jpg</v>
      </c>
      <c r="G609" s="67"/>
      <c r="H609" s="71"/>
      <c r="I609" s="72"/>
      <c r="J609" s="72"/>
      <c r="K609" s="71" t="s">
        <v>1841</v>
      </c>
      <c r="L609" s="75"/>
      <c r="M609" s="76">
        <v>7437.99853515625</v>
      </c>
      <c r="N609" s="76">
        <v>6995.58056640625</v>
      </c>
      <c r="O609" s="77"/>
      <c r="P609" s="78"/>
      <c r="Q609" s="78"/>
      <c r="R609" s="82"/>
      <c r="S609" s="82"/>
      <c r="T609" s="82"/>
      <c r="U609" s="82"/>
      <c r="V609" s="52"/>
      <c r="W609" s="52"/>
      <c r="X609" s="52"/>
      <c r="Y609" s="52"/>
      <c r="Z609" s="51"/>
      <c r="AA609" s="73">
        <v>609</v>
      </c>
      <c r="AB609" s="73"/>
      <c r="AC609" s="74"/>
      <c r="AD609" s="80" t="s">
        <v>1841</v>
      </c>
      <c r="AE609" s="80"/>
      <c r="AF609" s="80"/>
      <c r="AG609" s="80" t="s">
        <v>3941</v>
      </c>
      <c r="AH609" s="80" t="s">
        <v>5162</v>
      </c>
      <c r="AI609" s="80">
        <v>107</v>
      </c>
      <c r="AJ609" s="80">
        <v>0</v>
      </c>
      <c r="AK609" s="80">
        <v>3</v>
      </c>
      <c r="AL609" s="80">
        <v>0</v>
      </c>
      <c r="AM609" s="80" t="s">
        <v>5614</v>
      </c>
      <c r="AN609" s="102" t="str">
        <f>HYPERLINK("https://www.youtube.com/watch?v=DnQ_5GqKMZU")</f>
        <v>https://www.youtube.com/watch?v=DnQ_5GqKMZU</v>
      </c>
      <c r="AO609" s="2"/>
      <c r="AP609" s="3"/>
      <c r="AQ609" s="3"/>
      <c r="AR609" s="3"/>
      <c r="AS609" s="3"/>
    </row>
    <row r="610" spans="1:45" ht="15">
      <c r="A610" s="66" t="s">
        <v>789</v>
      </c>
      <c r="B610" s="67"/>
      <c r="C610" s="67"/>
      <c r="D610" s="68"/>
      <c r="E610" s="70"/>
      <c r="F610" s="100" t="str">
        <f>HYPERLINK("https://i.ytimg.com/vi/vgdY3yZf-nQ/default.jpg")</f>
        <v>https://i.ytimg.com/vi/vgdY3yZf-nQ/default.jpg</v>
      </c>
      <c r="G610" s="67"/>
      <c r="H610" s="71"/>
      <c r="I610" s="72"/>
      <c r="J610" s="72"/>
      <c r="K610" s="71" t="s">
        <v>1842</v>
      </c>
      <c r="L610" s="75"/>
      <c r="M610" s="76">
        <v>7967.44775390625</v>
      </c>
      <c r="N610" s="76">
        <v>6767.20263671875</v>
      </c>
      <c r="O610" s="77"/>
      <c r="P610" s="78"/>
      <c r="Q610" s="78"/>
      <c r="R610" s="82"/>
      <c r="S610" s="82"/>
      <c r="T610" s="82"/>
      <c r="U610" s="82"/>
      <c r="V610" s="52"/>
      <c r="W610" s="52"/>
      <c r="X610" s="52"/>
      <c r="Y610" s="52"/>
      <c r="Z610" s="51"/>
      <c r="AA610" s="73">
        <v>610</v>
      </c>
      <c r="AB610" s="73"/>
      <c r="AC610" s="74"/>
      <c r="AD610" s="80" t="s">
        <v>1842</v>
      </c>
      <c r="AE610" s="80" t="s">
        <v>2794</v>
      </c>
      <c r="AF610" s="80"/>
      <c r="AG610" s="80" t="s">
        <v>4094</v>
      </c>
      <c r="AH610" s="80" t="s">
        <v>5163</v>
      </c>
      <c r="AI610" s="80">
        <v>6719</v>
      </c>
      <c r="AJ610" s="80">
        <v>17</v>
      </c>
      <c r="AK610" s="80">
        <v>116</v>
      </c>
      <c r="AL610" s="80">
        <v>12</v>
      </c>
      <c r="AM610" s="80" t="s">
        <v>5614</v>
      </c>
      <c r="AN610" s="102" t="str">
        <f>HYPERLINK("https://www.youtube.com/watch?v=vgdY3yZf-nQ")</f>
        <v>https://www.youtube.com/watch?v=vgdY3yZf-nQ</v>
      </c>
      <c r="AO610" s="2"/>
      <c r="AP610" s="3"/>
      <c r="AQ610" s="3"/>
      <c r="AR610" s="3"/>
      <c r="AS610" s="3"/>
    </row>
    <row r="611" spans="1:45" ht="15">
      <c r="A611" s="66" t="s">
        <v>790</v>
      </c>
      <c r="B611" s="67"/>
      <c r="C611" s="67"/>
      <c r="D611" s="68"/>
      <c r="E611" s="70"/>
      <c r="F611" s="100" t="str">
        <f>HYPERLINK("https://i.ytimg.com/vi/3e_dJIEjfgk/default.jpg")</f>
        <v>https://i.ytimg.com/vi/3e_dJIEjfgk/default.jpg</v>
      </c>
      <c r="G611" s="67"/>
      <c r="H611" s="71"/>
      <c r="I611" s="72"/>
      <c r="J611" s="72"/>
      <c r="K611" s="71" t="s">
        <v>1843</v>
      </c>
      <c r="L611" s="75"/>
      <c r="M611" s="76">
        <v>7632.517578125</v>
      </c>
      <c r="N611" s="76">
        <v>6921.82080078125</v>
      </c>
      <c r="O611" s="77"/>
      <c r="P611" s="78"/>
      <c r="Q611" s="78"/>
      <c r="R611" s="82"/>
      <c r="S611" s="82"/>
      <c r="T611" s="82"/>
      <c r="U611" s="82"/>
      <c r="V611" s="52"/>
      <c r="W611" s="52"/>
      <c r="X611" s="52"/>
      <c r="Y611" s="52"/>
      <c r="Z611" s="51"/>
      <c r="AA611" s="73">
        <v>611</v>
      </c>
      <c r="AB611" s="73"/>
      <c r="AC611" s="74"/>
      <c r="AD611" s="80" t="s">
        <v>1843</v>
      </c>
      <c r="AE611" s="80" t="s">
        <v>2795</v>
      </c>
      <c r="AF611" s="80" t="s">
        <v>3545</v>
      </c>
      <c r="AG611" s="80" t="s">
        <v>4281</v>
      </c>
      <c r="AH611" s="80" t="s">
        <v>5164</v>
      </c>
      <c r="AI611" s="80">
        <v>86976</v>
      </c>
      <c r="AJ611" s="80">
        <v>9</v>
      </c>
      <c r="AK611" s="80">
        <v>314</v>
      </c>
      <c r="AL611" s="80">
        <v>27</v>
      </c>
      <c r="AM611" s="80" t="s">
        <v>5614</v>
      </c>
      <c r="AN611" s="102" t="str">
        <f>HYPERLINK("https://www.youtube.com/watch?v=3e_dJIEjfgk")</f>
        <v>https://www.youtube.com/watch?v=3e_dJIEjfgk</v>
      </c>
      <c r="AO611" s="2"/>
      <c r="AP611" s="3"/>
      <c r="AQ611" s="3"/>
      <c r="AR611" s="3"/>
      <c r="AS611" s="3"/>
    </row>
    <row r="612" spans="1:45" ht="15">
      <c r="A612" s="66" t="s">
        <v>791</v>
      </c>
      <c r="B612" s="67"/>
      <c r="C612" s="67"/>
      <c r="D612" s="68"/>
      <c r="E612" s="70"/>
      <c r="F612" s="100" t="str">
        <f>HYPERLINK("https://i.ytimg.com/vi/SRBQcMfKB6A/default.jpg")</f>
        <v>https://i.ytimg.com/vi/SRBQcMfKB6A/default.jpg</v>
      </c>
      <c r="G612" s="67"/>
      <c r="H612" s="71"/>
      <c r="I612" s="72"/>
      <c r="J612" s="72"/>
      <c r="K612" s="71" t="s">
        <v>1844</v>
      </c>
      <c r="L612" s="75"/>
      <c r="M612" s="76">
        <v>8236.1513671875</v>
      </c>
      <c r="N612" s="76">
        <v>6537.8935546875</v>
      </c>
      <c r="O612" s="77"/>
      <c r="P612" s="78"/>
      <c r="Q612" s="78"/>
      <c r="R612" s="82"/>
      <c r="S612" s="82"/>
      <c r="T612" s="82"/>
      <c r="U612" s="82"/>
      <c r="V612" s="52"/>
      <c r="W612" s="52"/>
      <c r="X612" s="52"/>
      <c r="Y612" s="52"/>
      <c r="Z612" s="51"/>
      <c r="AA612" s="73">
        <v>612</v>
      </c>
      <c r="AB612" s="73"/>
      <c r="AC612" s="74"/>
      <c r="AD612" s="80" t="s">
        <v>1844</v>
      </c>
      <c r="AE612" s="80" t="s">
        <v>2796</v>
      </c>
      <c r="AF612" s="80" t="s">
        <v>3546</v>
      </c>
      <c r="AG612" s="80" t="s">
        <v>4278</v>
      </c>
      <c r="AH612" s="80" t="s">
        <v>5165</v>
      </c>
      <c r="AI612" s="80">
        <v>178309</v>
      </c>
      <c r="AJ612" s="80">
        <v>222</v>
      </c>
      <c r="AK612" s="80">
        <v>529</v>
      </c>
      <c r="AL612" s="80">
        <v>36</v>
      </c>
      <c r="AM612" s="80" t="s">
        <v>5614</v>
      </c>
      <c r="AN612" s="102" t="str">
        <f>HYPERLINK("https://www.youtube.com/watch?v=SRBQcMfKB6A")</f>
        <v>https://www.youtube.com/watch?v=SRBQcMfKB6A</v>
      </c>
      <c r="AO612" s="2"/>
      <c r="AP612" s="3"/>
      <c r="AQ612" s="3"/>
      <c r="AR612" s="3"/>
      <c r="AS612" s="3"/>
    </row>
    <row r="613" spans="1:45" ht="15">
      <c r="A613" s="66" t="s">
        <v>792</v>
      </c>
      <c r="B613" s="67"/>
      <c r="C613" s="67"/>
      <c r="D613" s="68"/>
      <c r="E613" s="70"/>
      <c r="F613" s="100" t="str">
        <f>HYPERLINK("https://i.ytimg.com/vi/XraE9GmUNgU/default.jpg")</f>
        <v>https://i.ytimg.com/vi/XraE9GmUNgU/default.jpg</v>
      </c>
      <c r="G613" s="67"/>
      <c r="H613" s="71"/>
      <c r="I613" s="72"/>
      <c r="J613" s="72"/>
      <c r="K613" s="71" t="s">
        <v>1845</v>
      </c>
      <c r="L613" s="75"/>
      <c r="M613" s="76">
        <v>7566.09912109375</v>
      </c>
      <c r="N613" s="76">
        <v>6978.28125</v>
      </c>
      <c r="O613" s="77"/>
      <c r="P613" s="78"/>
      <c r="Q613" s="78"/>
      <c r="R613" s="82"/>
      <c r="S613" s="82"/>
      <c r="T613" s="82"/>
      <c r="U613" s="82"/>
      <c r="V613" s="52"/>
      <c r="W613" s="52"/>
      <c r="X613" s="52"/>
      <c r="Y613" s="52"/>
      <c r="Z613" s="51"/>
      <c r="AA613" s="73">
        <v>613</v>
      </c>
      <c r="AB613" s="73"/>
      <c r="AC613" s="74"/>
      <c r="AD613" s="80" t="s">
        <v>1845</v>
      </c>
      <c r="AE613" s="80" t="s">
        <v>2797</v>
      </c>
      <c r="AF613" s="80" t="s">
        <v>3547</v>
      </c>
      <c r="AG613" s="80" t="s">
        <v>4278</v>
      </c>
      <c r="AH613" s="80" t="s">
        <v>5166</v>
      </c>
      <c r="AI613" s="80">
        <v>241040</v>
      </c>
      <c r="AJ613" s="80">
        <v>41</v>
      </c>
      <c r="AK613" s="80">
        <v>468</v>
      </c>
      <c r="AL613" s="80">
        <v>31</v>
      </c>
      <c r="AM613" s="80" t="s">
        <v>5614</v>
      </c>
      <c r="AN613" s="102" t="str">
        <f>HYPERLINK("https://www.youtube.com/watch?v=XraE9GmUNgU")</f>
        <v>https://www.youtube.com/watch?v=XraE9GmUNgU</v>
      </c>
      <c r="AO613" s="2"/>
      <c r="AP613" s="3"/>
      <c r="AQ613" s="3"/>
      <c r="AR613" s="3"/>
      <c r="AS613" s="3"/>
    </row>
    <row r="614" spans="1:45" ht="15">
      <c r="A614" s="66" t="s">
        <v>793</v>
      </c>
      <c r="B614" s="67"/>
      <c r="C614" s="67"/>
      <c r="D614" s="68"/>
      <c r="E614" s="70"/>
      <c r="F614" s="100" t="str">
        <f>HYPERLINK("https://i.ytimg.com/vi/CG73_51p-jU/default.jpg")</f>
        <v>https://i.ytimg.com/vi/CG73_51p-jU/default.jpg</v>
      </c>
      <c r="G614" s="67"/>
      <c r="H614" s="71"/>
      <c r="I614" s="72"/>
      <c r="J614" s="72"/>
      <c r="K614" s="71" t="s">
        <v>1846</v>
      </c>
      <c r="L614" s="75"/>
      <c r="M614" s="76">
        <v>8699.79296875</v>
      </c>
      <c r="N614" s="76">
        <v>6183.24853515625</v>
      </c>
      <c r="O614" s="77"/>
      <c r="P614" s="78"/>
      <c r="Q614" s="78"/>
      <c r="R614" s="82"/>
      <c r="S614" s="82"/>
      <c r="T614" s="82"/>
      <c r="U614" s="82"/>
      <c r="V614" s="52"/>
      <c r="W614" s="52"/>
      <c r="X614" s="52"/>
      <c r="Y614" s="52"/>
      <c r="Z614" s="51"/>
      <c r="AA614" s="73">
        <v>614</v>
      </c>
      <c r="AB614" s="73"/>
      <c r="AC614" s="74"/>
      <c r="AD614" s="80" t="s">
        <v>1846</v>
      </c>
      <c r="AE614" s="80" t="s">
        <v>2798</v>
      </c>
      <c r="AF614" s="80" t="s">
        <v>3548</v>
      </c>
      <c r="AG614" s="80" t="s">
        <v>4282</v>
      </c>
      <c r="AH614" s="80" t="s">
        <v>5167</v>
      </c>
      <c r="AI614" s="80">
        <v>297</v>
      </c>
      <c r="AJ614" s="80">
        <v>0</v>
      </c>
      <c r="AK614" s="80">
        <v>1</v>
      </c>
      <c r="AL614" s="80">
        <v>1</v>
      </c>
      <c r="AM614" s="80" t="s">
        <v>5614</v>
      </c>
      <c r="AN614" s="102" t="str">
        <f>HYPERLINK("https://www.youtube.com/watch?v=CG73_51p-jU")</f>
        <v>https://www.youtube.com/watch?v=CG73_51p-jU</v>
      </c>
      <c r="AO614" s="2"/>
      <c r="AP614" s="3"/>
      <c r="AQ614" s="3"/>
      <c r="AR614" s="3"/>
      <c r="AS614" s="3"/>
    </row>
    <row r="615" spans="1:45" ht="15">
      <c r="A615" s="66" t="s">
        <v>794</v>
      </c>
      <c r="B615" s="67"/>
      <c r="C615" s="67"/>
      <c r="D615" s="68"/>
      <c r="E615" s="70"/>
      <c r="F615" s="100" t="str">
        <f>HYPERLINK("https://i.ytimg.com/vi/5T6jS2K3WNA/default.jpg")</f>
        <v>https://i.ytimg.com/vi/5T6jS2K3WNA/default.jpg</v>
      </c>
      <c r="G615" s="67"/>
      <c r="H615" s="71"/>
      <c r="I615" s="72"/>
      <c r="J615" s="72"/>
      <c r="K615" s="71" t="s">
        <v>1847</v>
      </c>
      <c r="L615" s="75"/>
      <c r="M615" s="76">
        <v>8056.330078125</v>
      </c>
      <c r="N615" s="76">
        <v>6661.05908203125</v>
      </c>
      <c r="O615" s="77"/>
      <c r="P615" s="78"/>
      <c r="Q615" s="78"/>
      <c r="R615" s="82"/>
      <c r="S615" s="82"/>
      <c r="T615" s="82"/>
      <c r="U615" s="82"/>
      <c r="V615" s="52"/>
      <c r="W615" s="52"/>
      <c r="X615" s="52"/>
      <c r="Y615" s="52"/>
      <c r="Z615" s="51"/>
      <c r="AA615" s="73">
        <v>615</v>
      </c>
      <c r="AB615" s="73"/>
      <c r="AC615" s="74"/>
      <c r="AD615" s="80" t="s">
        <v>1847</v>
      </c>
      <c r="AE615" s="80" t="s">
        <v>2794</v>
      </c>
      <c r="AF615" s="80"/>
      <c r="AG615" s="80" t="s">
        <v>4094</v>
      </c>
      <c r="AH615" s="80" t="s">
        <v>5168</v>
      </c>
      <c r="AI615" s="80">
        <v>13524</v>
      </c>
      <c r="AJ615" s="80">
        <v>21</v>
      </c>
      <c r="AK615" s="80">
        <v>187</v>
      </c>
      <c r="AL615" s="80">
        <v>14</v>
      </c>
      <c r="AM615" s="80" t="s">
        <v>5614</v>
      </c>
      <c r="AN615" s="102" t="str">
        <f>HYPERLINK("https://www.youtube.com/watch?v=5T6jS2K3WNA")</f>
        <v>https://www.youtube.com/watch?v=5T6jS2K3WNA</v>
      </c>
      <c r="AO615" s="2"/>
      <c r="AP615" s="3"/>
      <c r="AQ615" s="3"/>
      <c r="AR615" s="3"/>
      <c r="AS615" s="3"/>
    </row>
    <row r="616" spans="1:45" ht="15">
      <c r="A616" s="66" t="s">
        <v>795</v>
      </c>
      <c r="B616" s="67"/>
      <c r="C616" s="67"/>
      <c r="D616" s="68"/>
      <c r="E616" s="70"/>
      <c r="F616" s="100" t="str">
        <f>HYPERLINK("https://i.ytimg.com/vi/g9FtLj1LseM/default.jpg")</f>
        <v>https://i.ytimg.com/vi/g9FtLj1LseM/default.jpg</v>
      </c>
      <c r="G616" s="67"/>
      <c r="H616" s="71"/>
      <c r="I616" s="72"/>
      <c r="J616" s="72"/>
      <c r="K616" s="71" t="s">
        <v>1848</v>
      </c>
      <c r="L616" s="75"/>
      <c r="M616" s="76">
        <v>8208.6455078125</v>
      </c>
      <c r="N616" s="76">
        <v>6663.03173828125</v>
      </c>
      <c r="O616" s="77"/>
      <c r="P616" s="78"/>
      <c r="Q616" s="78"/>
      <c r="R616" s="82"/>
      <c r="S616" s="82"/>
      <c r="T616" s="82"/>
      <c r="U616" s="82"/>
      <c r="V616" s="52"/>
      <c r="W616" s="52"/>
      <c r="X616" s="52"/>
      <c r="Y616" s="52"/>
      <c r="Z616" s="51"/>
      <c r="AA616" s="73">
        <v>616</v>
      </c>
      <c r="AB616" s="73"/>
      <c r="AC616" s="74"/>
      <c r="AD616" s="80" t="s">
        <v>1848</v>
      </c>
      <c r="AE616" s="80"/>
      <c r="AF616" s="80"/>
      <c r="AG616" s="80" t="s">
        <v>4134</v>
      </c>
      <c r="AH616" s="80" t="s">
        <v>5169</v>
      </c>
      <c r="AI616" s="80">
        <v>91987</v>
      </c>
      <c r="AJ616" s="80">
        <v>18</v>
      </c>
      <c r="AK616" s="80">
        <v>679</v>
      </c>
      <c r="AL616" s="80">
        <v>59</v>
      </c>
      <c r="AM616" s="80" t="s">
        <v>5614</v>
      </c>
      <c r="AN616" s="102" t="str">
        <f>HYPERLINK("https://www.youtube.com/watch?v=g9FtLj1LseM")</f>
        <v>https://www.youtube.com/watch?v=g9FtLj1LseM</v>
      </c>
      <c r="AO616" s="2"/>
      <c r="AP616" s="3"/>
      <c r="AQ616" s="3"/>
      <c r="AR616" s="3"/>
      <c r="AS616" s="3"/>
    </row>
    <row r="617" spans="1:45" ht="15">
      <c r="A617" s="66" t="s">
        <v>796</v>
      </c>
      <c r="B617" s="67"/>
      <c r="C617" s="67"/>
      <c r="D617" s="68"/>
      <c r="E617" s="70"/>
      <c r="F617" s="100" t="str">
        <f>HYPERLINK("https://i.ytimg.com/vi/qX7bib-Yy5M/default.jpg")</f>
        <v>https://i.ytimg.com/vi/qX7bib-Yy5M/default.jpg</v>
      </c>
      <c r="G617" s="67"/>
      <c r="H617" s="71"/>
      <c r="I617" s="72"/>
      <c r="J617" s="72"/>
      <c r="K617" s="71" t="s">
        <v>1849</v>
      </c>
      <c r="L617" s="75"/>
      <c r="M617" s="76">
        <v>7742.7900390625</v>
      </c>
      <c r="N617" s="76">
        <v>6841.74169921875</v>
      </c>
      <c r="O617" s="77"/>
      <c r="P617" s="78"/>
      <c r="Q617" s="78"/>
      <c r="R617" s="82"/>
      <c r="S617" s="82"/>
      <c r="T617" s="82"/>
      <c r="U617" s="82"/>
      <c r="V617" s="52"/>
      <c r="W617" s="52"/>
      <c r="X617" s="52"/>
      <c r="Y617" s="52"/>
      <c r="Z617" s="51"/>
      <c r="AA617" s="73">
        <v>617</v>
      </c>
      <c r="AB617" s="73"/>
      <c r="AC617" s="74"/>
      <c r="AD617" s="80" t="s">
        <v>1849</v>
      </c>
      <c r="AE617" s="80" t="s">
        <v>2799</v>
      </c>
      <c r="AF617" s="80"/>
      <c r="AG617" s="80" t="s">
        <v>4094</v>
      </c>
      <c r="AH617" s="80" t="s">
        <v>5170</v>
      </c>
      <c r="AI617" s="80">
        <v>97795</v>
      </c>
      <c r="AJ617" s="80">
        <v>99</v>
      </c>
      <c r="AK617" s="80">
        <v>379</v>
      </c>
      <c r="AL617" s="80">
        <v>33</v>
      </c>
      <c r="AM617" s="80" t="s">
        <v>5614</v>
      </c>
      <c r="AN617" s="102" t="str">
        <f>HYPERLINK("https://www.youtube.com/watch?v=qX7bib-Yy5M")</f>
        <v>https://www.youtube.com/watch?v=qX7bib-Yy5M</v>
      </c>
      <c r="AO617" s="2"/>
      <c r="AP617" s="3"/>
      <c r="AQ617" s="3"/>
      <c r="AR617" s="3"/>
      <c r="AS617" s="3"/>
    </row>
    <row r="618" spans="1:45" ht="15">
      <c r="A618" s="66" t="s">
        <v>797</v>
      </c>
      <c r="B618" s="67"/>
      <c r="C618" s="67"/>
      <c r="D618" s="68"/>
      <c r="E618" s="70"/>
      <c r="F618" s="100" t="str">
        <f>HYPERLINK("https://i.ytimg.com/vi/b95rD8WUhuM/default.jpg")</f>
        <v>https://i.ytimg.com/vi/b95rD8WUhuM/default.jpg</v>
      </c>
      <c r="G618" s="67"/>
      <c r="H618" s="71"/>
      <c r="I618" s="72"/>
      <c r="J618" s="72"/>
      <c r="K618" s="71" t="s">
        <v>1850</v>
      </c>
      <c r="L618" s="75"/>
      <c r="M618" s="76">
        <v>8482.7646484375</v>
      </c>
      <c r="N618" s="76">
        <v>6419.9599609375</v>
      </c>
      <c r="O618" s="77"/>
      <c r="P618" s="78"/>
      <c r="Q618" s="78"/>
      <c r="R618" s="82"/>
      <c r="S618" s="82"/>
      <c r="T618" s="82"/>
      <c r="U618" s="82"/>
      <c r="V618" s="52"/>
      <c r="W618" s="52"/>
      <c r="X618" s="52"/>
      <c r="Y618" s="52"/>
      <c r="Z618" s="51"/>
      <c r="AA618" s="73">
        <v>618</v>
      </c>
      <c r="AB618" s="73"/>
      <c r="AC618" s="74"/>
      <c r="AD618" s="80" t="s">
        <v>1850</v>
      </c>
      <c r="AE618" s="80" t="s">
        <v>2800</v>
      </c>
      <c r="AF618" s="80" t="s">
        <v>3549</v>
      </c>
      <c r="AG618" s="80" t="s">
        <v>4283</v>
      </c>
      <c r="AH618" s="80" t="s">
        <v>5171</v>
      </c>
      <c r="AI618" s="80">
        <v>323</v>
      </c>
      <c r="AJ618" s="80">
        <v>0</v>
      </c>
      <c r="AK618" s="80">
        <v>3</v>
      </c>
      <c r="AL618" s="80">
        <v>1</v>
      </c>
      <c r="AM618" s="80" t="s">
        <v>5614</v>
      </c>
      <c r="AN618" s="102" t="str">
        <f>HYPERLINK("https://www.youtube.com/watch?v=b95rD8WUhuM")</f>
        <v>https://www.youtube.com/watch?v=b95rD8WUhuM</v>
      </c>
      <c r="AO618" s="2"/>
      <c r="AP618" s="3"/>
      <c r="AQ618" s="3"/>
      <c r="AR618" s="3"/>
      <c r="AS618" s="3"/>
    </row>
    <row r="619" spans="1:45" ht="15">
      <c r="A619" s="66" t="s">
        <v>798</v>
      </c>
      <c r="B619" s="67"/>
      <c r="C619" s="67"/>
      <c r="D619" s="68"/>
      <c r="E619" s="70"/>
      <c r="F619" s="100" t="str">
        <f>HYPERLINK("https://i.ytimg.com/vi/vHnyUo5ETtI/default.jpg")</f>
        <v>https://i.ytimg.com/vi/vHnyUo5ETtI/default.jpg</v>
      </c>
      <c r="G619" s="67"/>
      <c r="H619" s="71"/>
      <c r="I619" s="72"/>
      <c r="J619" s="72"/>
      <c r="K619" s="71" t="s">
        <v>1851</v>
      </c>
      <c r="L619" s="75"/>
      <c r="M619" s="76">
        <v>8436.2392578125</v>
      </c>
      <c r="N619" s="76">
        <v>6489.498046875</v>
      </c>
      <c r="O619" s="77"/>
      <c r="P619" s="78"/>
      <c r="Q619" s="78"/>
      <c r="R619" s="82"/>
      <c r="S619" s="82"/>
      <c r="T619" s="82"/>
      <c r="U619" s="82"/>
      <c r="V619" s="52"/>
      <c r="W619" s="52"/>
      <c r="X619" s="52"/>
      <c r="Y619" s="52"/>
      <c r="Z619" s="51"/>
      <c r="AA619" s="73">
        <v>619</v>
      </c>
      <c r="AB619" s="73"/>
      <c r="AC619" s="74"/>
      <c r="AD619" s="80" t="s">
        <v>1851</v>
      </c>
      <c r="AE619" s="80" t="s">
        <v>2801</v>
      </c>
      <c r="AF619" s="80"/>
      <c r="AG619" s="80" t="s">
        <v>4284</v>
      </c>
      <c r="AH619" s="80" t="s">
        <v>5172</v>
      </c>
      <c r="AI619" s="80">
        <v>1448</v>
      </c>
      <c r="AJ619" s="80">
        <v>0</v>
      </c>
      <c r="AK619" s="80">
        <v>133</v>
      </c>
      <c r="AL619" s="80">
        <v>1</v>
      </c>
      <c r="AM619" s="80" t="s">
        <v>5614</v>
      </c>
      <c r="AN619" s="102" t="str">
        <f>HYPERLINK("https://www.youtube.com/watch?v=vHnyUo5ETtI")</f>
        <v>https://www.youtube.com/watch?v=vHnyUo5ETtI</v>
      </c>
      <c r="AO619" s="2"/>
      <c r="AP619" s="3"/>
      <c r="AQ619" s="3"/>
      <c r="AR619" s="3"/>
      <c r="AS619" s="3"/>
    </row>
    <row r="620" spans="1:45" ht="15">
      <c r="A620" s="66" t="s">
        <v>799</v>
      </c>
      <c r="B620" s="67"/>
      <c r="C620" s="67"/>
      <c r="D620" s="68"/>
      <c r="E620" s="70"/>
      <c r="F620" s="100" t="str">
        <f>HYPERLINK("https://i.ytimg.com/vi/hSG28ge-Tkk/default.jpg")</f>
        <v>https://i.ytimg.com/vi/hSG28ge-Tkk/default.jpg</v>
      </c>
      <c r="G620" s="67"/>
      <c r="H620" s="71"/>
      <c r="I620" s="72"/>
      <c r="J620" s="72"/>
      <c r="K620" s="71" t="s">
        <v>1852</v>
      </c>
      <c r="L620" s="75"/>
      <c r="M620" s="76">
        <v>8028.4443359375</v>
      </c>
      <c r="N620" s="76">
        <v>6750.2109375</v>
      </c>
      <c r="O620" s="77"/>
      <c r="P620" s="78"/>
      <c r="Q620" s="78"/>
      <c r="R620" s="82"/>
      <c r="S620" s="82"/>
      <c r="T620" s="82"/>
      <c r="U620" s="82"/>
      <c r="V620" s="52"/>
      <c r="W620" s="52"/>
      <c r="X620" s="52"/>
      <c r="Y620" s="52"/>
      <c r="Z620" s="51"/>
      <c r="AA620" s="73">
        <v>620</v>
      </c>
      <c r="AB620" s="73"/>
      <c r="AC620" s="74"/>
      <c r="AD620" s="80" t="s">
        <v>1852</v>
      </c>
      <c r="AE620" s="80" t="s">
        <v>2802</v>
      </c>
      <c r="AF620" s="80"/>
      <c r="AG620" s="80" t="s">
        <v>4285</v>
      </c>
      <c r="AH620" s="80" t="s">
        <v>5173</v>
      </c>
      <c r="AI620" s="80">
        <v>2892</v>
      </c>
      <c r="AJ620" s="80">
        <v>0</v>
      </c>
      <c r="AK620" s="80">
        <v>93</v>
      </c>
      <c r="AL620" s="80">
        <v>6</v>
      </c>
      <c r="AM620" s="80" t="s">
        <v>5614</v>
      </c>
      <c r="AN620" s="102" t="str">
        <f>HYPERLINK("https://www.youtube.com/watch?v=hSG28ge-Tkk")</f>
        <v>https://www.youtube.com/watch?v=hSG28ge-Tkk</v>
      </c>
      <c r="AO620" s="2"/>
      <c r="AP620" s="3"/>
      <c r="AQ620" s="3"/>
      <c r="AR620" s="3"/>
      <c r="AS620" s="3"/>
    </row>
    <row r="621" spans="1:45" ht="15">
      <c r="A621" s="66" t="s">
        <v>800</v>
      </c>
      <c r="B621" s="67"/>
      <c r="C621" s="67"/>
      <c r="D621" s="68"/>
      <c r="E621" s="70"/>
      <c r="F621" s="100" t="str">
        <f>HYPERLINK("https://i.ytimg.com/vi/vVnczVDOw2M/default.jpg")</f>
        <v>https://i.ytimg.com/vi/vVnczVDOw2M/default.jpg</v>
      </c>
      <c r="G621" s="67"/>
      <c r="H621" s="71"/>
      <c r="I621" s="72"/>
      <c r="J621" s="72"/>
      <c r="K621" s="71" t="s">
        <v>1853</v>
      </c>
      <c r="L621" s="75"/>
      <c r="M621" s="76">
        <v>7910.49951171875</v>
      </c>
      <c r="N621" s="76">
        <v>6787.81103515625</v>
      </c>
      <c r="O621" s="77"/>
      <c r="P621" s="78"/>
      <c r="Q621" s="78"/>
      <c r="R621" s="82"/>
      <c r="S621" s="82"/>
      <c r="T621" s="82"/>
      <c r="U621" s="82"/>
      <c r="V621" s="52"/>
      <c r="W621" s="52"/>
      <c r="X621" s="52"/>
      <c r="Y621" s="52"/>
      <c r="Z621" s="51"/>
      <c r="AA621" s="73">
        <v>621</v>
      </c>
      <c r="AB621" s="73"/>
      <c r="AC621" s="74"/>
      <c r="AD621" s="80" t="s">
        <v>1853</v>
      </c>
      <c r="AE621" s="80" t="s">
        <v>2803</v>
      </c>
      <c r="AF621" s="80"/>
      <c r="AG621" s="80" t="s">
        <v>4286</v>
      </c>
      <c r="AH621" s="80" t="s">
        <v>5174</v>
      </c>
      <c r="AI621" s="80">
        <v>41801</v>
      </c>
      <c r="AJ621" s="80">
        <v>73</v>
      </c>
      <c r="AK621" s="80">
        <v>376</v>
      </c>
      <c r="AL621" s="80">
        <v>43</v>
      </c>
      <c r="AM621" s="80" t="s">
        <v>5614</v>
      </c>
      <c r="AN621" s="102" t="str">
        <f>HYPERLINK("https://www.youtube.com/watch?v=vVnczVDOw2M")</f>
        <v>https://www.youtube.com/watch?v=vVnczVDOw2M</v>
      </c>
      <c r="AO621" s="2"/>
      <c r="AP621" s="3"/>
      <c r="AQ621" s="3"/>
      <c r="AR621" s="3"/>
      <c r="AS621" s="3"/>
    </row>
    <row r="622" spans="1:45" ht="15">
      <c r="A622" s="66" t="s">
        <v>801</v>
      </c>
      <c r="B622" s="67"/>
      <c r="C622" s="67"/>
      <c r="D622" s="68"/>
      <c r="E622" s="70"/>
      <c r="F622" s="100" t="str">
        <f>HYPERLINK("https://i.ytimg.com/vi/t-Y8W6Ns90U/default.jpg")</f>
        <v>https://i.ytimg.com/vi/t-Y8W6Ns90U/default.jpg</v>
      </c>
      <c r="G622" s="67"/>
      <c r="H622" s="71"/>
      <c r="I622" s="72"/>
      <c r="J622" s="72"/>
      <c r="K622" s="71" t="s">
        <v>1854</v>
      </c>
      <c r="L622" s="75"/>
      <c r="M622" s="76">
        <v>7662.2578125</v>
      </c>
      <c r="N622" s="76">
        <v>6914.52685546875</v>
      </c>
      <c r="O622" s="77"/>
      <c r="P622" s="78"/>
      <c r="Q622" s="78"/>
      <c r="R622" s="82"/>
      <c r="S622" s="82"/>
      <c r="T622" s="82"/>
      <c r="U622" s="82"/>
      <c r="V622" s="52"/>
      <c r="W622" s="52"/>
      <c r="X622" s="52"/>
      <c r="Y622" s="52"/>
      <c r="Z622" s="51"/>
      <c r="AA622" s="73">
        <v>622</v>
      </c>
      <c r="AB622" s="73"/>
      <c r="AC622" s="74"/>
      <c r="AD622" s="80" t="s">
        <v>1854</v>
      </c>
      <c r="AE622" s="80" t="s">
        <v>2804</v>
      </c>
      <c r="AF622" s="80" t="s">
        <v>3550</v>
      </c>
      <c r="AG622" s="80" t="s">
        <v>4287</v>
      </c>
      <c r="AH622" s="80" t="s">
        <v>5175</v>
      </c>
      <c r="AI622" s="80">
        <v>721843</v>
      </c>
      <c r="AJ622" s="80">
        <v>303</v>
      </c>
      <c r="AK622" s="80">
        <v>11082</v>
      </c>
      <c r="AL622" s="80">
        <v>361</v>
      </c>
      <c r="AM622" s="80" t="s">
        <v>5614</v>
      </c>
      <c r="AN622" s="102" t="str">
        <f>HYPERLINK("https://www.youtube.com/watch?v=t-Y8W6Ns90U")</f>
        <v>https://www.youtube.com/watch?v=t-Y8W6Ns90U</v>
      </c>
      <c r="AO622" s="2"/>
      <c r="AP622" s="3"/>
      <c r="AQ622" s="3"/>
      <c r="AR622" s="3"/>
      <c r="AS622" s="3"/>
    </row>
    <row r="623" spans="1:45" ht="15">
      <c r="A623" s="66" t="s">
        <v>802</v>
      </c>
      <c r="B623" s="67"/>
      <c r="C623" s="67"/>
      <c r="D623" s="68"/>
      <c r="E623" s="70"/>
      <c r="F623" s="100" t="str">
        <f>HYPERLINK("https://i.ytimg.com/vi/niYKn__Jvoo/default.jpg")</f>
        <v>https://i.ytimg.com/vi/niYKn__Jvoo/default.jpg</v>
      </c>
      <c r="G623" s="67"/>
      <c r="H623" s="71"/>
      <c r="I623" s="72"/>
      <c r="J623" s="72"/>
      <c r="K623" s="71" t="s">
        <v>1855</v>
      </c>
      <c r="L623" s="75"/>
      <c r="M623" s="76">
        <v>7769.01123046875</v>
      </c>
      <c r="N623" s="76">
        <v>6866.05419921875</v>
      </c>
      <c r="O623" s="77"/>
      <c r="P623" s="78"/>
      <c r="Q623" s="78"/>
      <c r="R623" s="82"/>
      <c r="S623" s="82"/>
      <c r="T623" s="82"/>
      <c r="U623" s="82"/>
      <c r="V623" s="52"/>
      <c r="W623" s="52"/>
      <c r="X623" s="52"/>
      <c r="Y623" s="52"/>
      <c r="Z623" s="51"/>
      <c r="AA623" s="73">
        <v>623</v>
      </c>
      <c r="AB623" s="73"/>
      <c r="AC623" s="74"/>
      <c r="AD623" s="80" t="s">
        <v>1855</v>
      </c>
      <c r="AE623" s="80" t="s">
        <v>2805</v>
      </c>
      <c r="AF623" s="80" t="s">
        <v>3551</v>
      </c>
      <c r="AG623" s="80" t="s">
        <v>4288</v>
      </c>
      <c r="AH623" s="80" t="s">
        <v>5176</v>
      </c>
      <c r="AI623" s="80">
        <v>40578</v>
      </c>
      <c r="AJ623" s="80">
        <v>34</v>
      </c>
      <c r="AK623" s="80">
        <v>337</v>
      </c>
      <c r="AL623" s="80">
        <v>15</v>
      </c>
      <c r="AM623" s="80" t="s">
        <v>5614</v>
      </c>
      <c r="AN623" s="102" t="str">
        <f>HYPERLINK("https://www.youtube.com/watch?v=niYKn__Jvoo")</f>
        <v>https://www.youtube.com/watch?v=niYKn__Jvoo</v>
      </c>
      <c r="AO623" s="2"/>
      <c r="AP623" s="3"/>
      <c r="AQ623" s="3"/>
      <c r="AR623" s="3"/>
      <c r="AS623" s="3"/>
    </row>
    <row r="624" spans="1:45" ht="15">
      <c r="A624" s="66" t="s">
        <v>803</v>
      </c>
      <c r="B624" s="67"/>
      <c r="C624" s="67"/>
      <c r="D624" s="68"/>
      <c r="E624" s="70"/>
      <c r="F624" s="100" t="str">
        <f>HYPERLINK("https://i.ytimg.com/vi/dEhm1eU4I60/default.jpg")</f>
        <v>https://i.ytimg.com/vi/dEhm1eU4I60/default.jpg</v>
      </c>
      <c r="G624" s="67"/>
      <c r="H624" s="71"/>
      <c r="I624" s="72"/>
      <c r="J624" s="72"/>
      <c r="K624" s="71" t="s">
        <v>1856</v>
      </c>
      <c r="L624" s="75"/>
      <c r="M624" s="76">
        <v>8278.408203125</v>
      </c>
      <c r="N624" s="76">
        <v>6479.40576171875</v>
      </c>
      <c r="O624" s="77"/>
      <c r="P624" s="78"/>
      <c r="Q624" s="78"/>
      <c r="R624" s="82"/>
      <c r="S624" s="82"/>
      <c r="T624" s="82"/>
      <c r="U624" s="82"/>
      <c r="V624" s="52"/>
      <c r="W624" s="52"/>
      <c r="X624" s="52"/>
      <c r="Y624" s="52"/>
      <c r="Z624" s="51"/>
      <c r="AA624" s="73">
        <v>624</v>
      </c>
      <c r="AB624" s="73"/>
      <c r="AC624" s="74"/>
      <c r="AD624" s="80" t="s">
        <v>1856</v>
      </c>
      <c r="AE624" s="80"/>
      <c r="AF624" s="80"/>
      <c r="AG624" s="80" t="s">
        <v>3941</v>
      </c>
      <c r="AH624" s="80" t="s">
        <v>5177</v>
      </c>
      <c r="AI624" s="80">
        <v>734</v>
      </c>
      <c r="AJ624" s="80">
        <v>6</v>
      </c>
      <c r="AK624" s="80">
        <v>20</v>
      </c>
      <c r="AL624" s="80">
        <v>1</v>
      </c>
      <c r="AM624" s="80" t="s">
        <v>5614</v>
      </c>
      <c r="AN624" s="102" t="str">
        <f>HYPERLINK("https://www.youtube.com/watch?v=dEhm1eU4I60")</f>
        <v>https://www.youtube.com/watch?v=dEhm1eU4I60</v>
      </c>
      <c r="AO624" s="2"/>
      <c r="AP624" s="3"/>
      <c r="AQ624" s="3"/>
      <c r="AR624" s="3"/>
      <c r="AS624" s="3"/>
    </row>
    <row r="625" spans="1:45" ht="15">
      <c r="A625" s="66" t="s">
        <v>804</v>
      </c>
      <c r="B625" s="67"/>
      <c r="C625" s="67"/>
      <c r="D625" s="68"/>
      <c r="E625" s="70"/>
      <c r="F625" s="100" t="str">
        <f>HYPERLINK("https://i.ytimg.com/vi/7jjYSIzv54E/default.jpg")</f>
        <v>https://i.ytimg.com/vi/7jjYSIzv54E/default.jpg</v>
      </c>
      <c r="G625" s="67"/>
      <c r="H625" s="71"/>
      <c r="I625" s="72"/>
      <c r="J625" s="72"/>
      <c r="K625" s="71" t="s">
        <v>1857</v>
      </c>
      <c r="L625" s="75"/>
      <c r="M625" s="76">
        <v>8211.0390625</v>
      </c>
      <c r="N625" s="76">
        <v>6639.36865234375</v>
      </c>
      <c r="O625" s="77"/>
      <c r="P625" s="78"/>
      <c r="Q625" s="78"/>
      <c r="R625" s="82"/>
      <c r="S625" s="82"/>
      <c r="T625" s="82"/>
      <c r="U625" s="82"/>
      <c r="V625" s="52"/>
      <c r="W625" s="52"/>
      <c r="X625" s="52"/>
      <c r="Y625" s="52"/>
      <c r="Z625" s="51"/>
      <c r="AA625" s="73">
        <v>625</v>
      </c>
      <c r="AB625" s="73"/>
      <c r="AC625" s="74"/>
      <c r="AD625" s="80" t="s">
        <v>1857</v>
      </c>
      <c r="AE625" s="80"/>
      <c r="AF625" s="80"/>
      <c r="AG625" s="80" t="s">
        <v>3941</v>
      </c>
      <c r="AH625" s="80" t="s">
        <v>5178</v>
      </c>
      <c r="AI625" s="80">
        <v>162</v>
      </c>
      <c r="AJ625" s="80">
        <v>0</v>
      </c>
      <c r="AK625" s="80">
        <v>9</v>
      </c>
      <c r="AL625" s="80">
        <v>0</v>
      </c>
      <c r="AM625" s="80" t="s">
        <v>5614</v>
      </c>
      <c r="AN625" s="102" t="str">
        <f>HYPERLINK("https://www.youtube.com/watch?v=7jjYSIzv54E")</f>
        <v>https://www.youtube.com/watch?v=7jjYSIzv54E</v>
      </c>
      <c r="AO625" s="2"/>
      <c r="AP625" s="3"/>
      <c r="AQ625" s="3"/>
      <c r="AR625" s="3"/>
      <c r="AS625" s="3"/>
    </row>
    <row r="626" spans="1:45" ht="15">
      <c r="A626" s="66" t="s">
        <v>805</v>
      </c>
      <c r="B626" s="67"/>
      <c r="C626" s="67"/>
      <c r="D626" s="68"/>
      <c r="E626" s="70"/>
      <c r="F626" s="100" t="str">
        <f>HYPERLINK("https://i.ytimg.com/vi/TG0GlQCNLYc/default.jpg")</f>
        <v>https://i.ytimg.com/vi/TG0GlQCNLYc/default.jpg</v>
      </c>
      <c r="G626" s="67"/>
      <c r="H626" s="71"/>
      <c r="I626" s="72"/>
      <c r="J626" s="72"/>
      <c r="K626" s="71" t="s">
        <v>1858</v>
      </c>
      <c r="L626" s="75"/>
      <c r="M626" s="76">
        <v>8421.71484375</v>
      </c>
      <c r="N626" s="76">
        <v>6410.830078125</v>
      </c>
      <c r="O626" s="77"/>
      <c r="P626" s="78"/>
      <c r="Q626" s="78"/>
      <c r="R626" s="82"/>
      <c r="S626" s="82"/>
      <c r="T626" s="82"/>
      <c r="U626" s="82"/>
      <c r="V626" s="52"/>
      <c r="W626" s="52"/>
      <c r="X626" s="52"/>
      <c r="Y626" s="52"/>
      <c r="Z626" s="51"/>
      <c r="AA626" s="73">
        <v>626</v>
      </c>
      <c r="AB626" s="73"/>
      <c r="AC626" s="74"/>
      <c r="AD626" s="80" t="s">
        <v>1858</v>
      </c>
      <c r="AE626" s="80" t="s">
        <v>2806</v>
      </c>
      <c r="AF626" s="80" t="s">
        <v>3552</v>
      </c>
      <c r="AG626" s="80" t="s">
        <v>4289</v>
      </c>
      <c r="AH626" s="80" t="s">
        <v>5179</v>
      </c>
      <c r="AI626" s="80">
        <v>141876</v>
      </c>
      <c r="AJ626" s="80">
        <v>1</v>
      </c>
      <c r="AK626" s="80">
        <v>1106</v>
      </c>
      <c r="AL626" s="80">
        <v>48</v>
      </c>
      <c r="AM626" s="80" t="s">
        <v>5614</v>
      </c>
      <c r="AN626" s="102" t="str">
        <f>HYPERLINK("https://www.youtube.com/watch?v=TG0GlQCNLYc")</f>
        <v>https://www.youtube.com/watch?v=TG0GlQCNLYc</v>
      </c>
      <c r="AO626" s="2"/>
      <c r="AP626" s="3"/>
      <c r="AQ626" s="3"/>
      <c r="AR626" s="3"/>
      <c r="AS626" s="3"/>
    </row>
    <row r="627" spans="1:45" ht="15">
      <c r="A627" s="66" t="s">
        <v>806</v>
      </c>
      <c r="B627" s="67"/>
      <c r="C627" s="67"/>
      <c r="D627" s="68"/>
      <c r="E627" s="70"/>
      <c r="F627" s="100" t="str">
        <f>HYPERLINK("https://i.ytimg.com/vi/BRdWhowQTxY/default.jpg")</f>
        <v>https://i.ytimg.com/vi/BRdWhowQTxY/default.jpg</v>
      </c>
      <c r="G627" s="67"/>
      <c r="H627" s="71"/>
      <c r="I627" s="72"/>
      <c r="J627" s="72"/>
      <c r="K627" s="71" t="s">
        <v>1859</v>
      </c>
      <c r="L627" s="75"/>
      <c r="M627" s="76">
        <v>8663.5478515625</v>
      </c>
      <c r="N627" s="76">
        <v>6262.18701171875</v>
      </c>
      <c r="O627" s="77"/>
      <c r="P627" s="78"/>
      <c r="Q627" s="78"/>
      <c r="R627" s="82"/>
      <c r="S627" s="82"/>
      <c r="T627" s="82"/>
      <c r="U627" s="82"/>
      <c r="V627" s="52"/>
      <c r="W627" s="52"/>
      <c r="X627" s="52"/>
      <c r="Y627" s="52"/>
      <c r="Z627" s="51"/>
      <c r="AA627" s="73">
        <v>627</v>
      </c>
      <c r="AB627" s="73"/>
      <c r="AC627" s="74"/>
      <c r="AD627" s="80" t="s">
        <v>1859</v>
      </c>
      <c r="AE627" s="80" t="s">
        <v>2807</v>
      </c>
      <c r="AF627" s="80" t="s">
        <v>3553</v>
      </c>
      <c r="AG627" s="80" t="s">
        <v>3899</v>
      </c>
      <c r="AH627" s="80" t="s">
        <v>5180</v>
      </c>
      <c r="AI627" s="80">
        <v>109553</v>
      </c>
      <c r="AJ627" s="80">
        <v>60</v>
      </c>
      <c r="AK627" s="80">
        <v>3013</v>
      </c>
      <c r="AL627" s="80">
        <v>88</v>
      </c>
      <c r="AM627" s="80" t="s">
        <v>5614</v>
      </c>
      <c r="AN627" s="102" t="str">
        <f>HYPERLINK("https://www.youtube.com/watch?v=BRdWhowQTxY")</f>
        <v>https://www.youtube.com/watch?v=BRdWhowQTxY</v>
      </c>
      <c r="AO627" s="2"/>
      <c r="AP627" s="3"/>
      <c r="AQ627" s="3"/>
      <c r="AR627" s="3"/>
      <c r="AS627" s="3"/>
    </row>
    <row r="628" spans="1:45" ht="15">
      <c r="A628" s="66" t="s">
        <v>807</v>
      </c>
      <c r="B628" s="67"/>
      <c r="C628" s="67"/>
      <c r="D628" s="68"/>
      <c r="E628" s="70"/>
      <c r="F628" s="100" t="str">
        <f>HYPERLINK("https://i.ytimg.com/vi/kbx09rfcjUY/default.jpg")</f>
        <v>https://i.ytimg.com/vi/kbx09rfcjUY/default.jpg</v>
      </c>
      <c r="G628" s="67"/>
      <c r="H628" s="71"/>
      <c r="I628" s="72"/>
      <c r="J628" s="72"/>
      <c r="K628" s="71" t="s">
        <v>1860</v>
      </c>
      <c r="L628" s="75"/>
      <c r="M628" s="76">
        <v>7474.421875</v>
      </c>
      <c r="N628" s="76">
        <v>6971.5869140625</v>
      </c>
      <c r="O628" s="77"/>
      <c r="P628" s="78"/>
      <c r="Q628" s="78"/>
      <c r="R628" s="82"/>
      <c r="S628" s="82"/>
      <c r="T628" s="82"/>
      <c r="U628" s="82"/>
      <c r="V628" s="52"/>
      <c r="W628" s="52"/>
      <c r="X628" s="52"/>
      <c r="Y628" s="52"/>
      <c r="Z628" s="51"/>
      <c r="AA628" s="73">
        <v>628</v>
      </c>
      <c r="AB628" s="73"/>
      <c r="AC628" s="74"/>
      <c r="AD628" s="80" t="s">
        <v>1860</v>
      </c>
      <c r="AE628" s="80" t="s">
        <v>2808</v>
      </c>
      <c r="AF628" s="80" t="s">
        <v>3554</v>
      </c>
      <c r="AG628" s="80" t="s">
        <v>4290</v>
      </c>
      <c r="AH628" s="80" t="s">
        <v>5181</v>
      </c>
      <c r="AI628" s="80">
        <v>18093</v>
      </c>
      <c r="AJ628" s="80">
        <v>0</v>
      </c>
      <c r="AK628" s="80">
        <v>0</v>
      </c>
      <c r="AL628" s="80">
        <v>0</v>
      </c>
      <c r="AM628" s="80" t="s">
        <v>5614</v>
      </c>
      <c r="AN628" s="102" t="str">
        <f>HYPERLINK("https://www.youtube.com/watch?v=kbx09rfcjUY")</f>
        <v>https://www.youtube.com/watch?v=kbx09rfcjUY</v>
      </c>
      <c r="AO628" s="2"/>
      <c r="AP628" s="3"/>
      <c r="AQ628" s="3"/>
      <c r="AR628" s="3"/>
      <c r="AS628" s="3"/>
    </row>
    <row r="629" spans="1:45" ht="15">
      <c r="A629" s="66" t="s">
        <v>808</v>
      </c>
      <c r="B629" s="67"/>
      <c r="C629" s="67"/>
      <c r="D629" s="68"/>
      <c r="E629" s="70"/>
      <c r="F629" s="100" t="str">
        <f>HYPERLINK("https://i.ytimg.com/vi/xbCMEFBLKZQ/default.jpg")</f>
        <v>https://i.ytimg.com/vi/xbCMEFBLKZQ/default.jpg</v>
      </c>
      <c r="G629" s="67"/>
      <c r="H629" s="71"/>
      <c r="I629" s="72"/>
      <c r="J629" s="72"/>
      <c r="K629" s="71" t="s">
        <v>1861</v>
      </c>
      <c r="L629" s="75"/>
      <c r="M629" s="76">
        <v>7641.466796875</v>
      </c>
      <c r="N629" s="76">
        <v>4100.98046875</v>
      </c>
      <c r="O629" s="77"/>
      <c r="P629" s="78"/>
      <c r="Q629" s="78"/>
      <c r="R629" s="82"/>
      <c r="S629" s="82"/>
      <c r="T629" s="82"/>
      <c r="U629" s="82"/>
      <c r="V629" s="52"/>
      <c r="W629" s="52"/>
      <c r="X629" s="52"/>
      <c r="Y629" s="52"/>
      <c r="Z629" s="51"/>
      <c r="AA629" s="73">
        <v>629</v>
      </c>
      <c r="AB629" s="73"/>
      <c r="AC629" s="74"/>
      <c r="AD629" s="80" t="s">
        <v>1861</v>
      </c>
      <c r="AE629" s="80" t="s">
        <v>2809</v>
      </c>
      <c r="AF629" s="80" t="s">
        <v>3555</v>
      </c>
      <c r="AG629" s="80" t="s">
        <v>3899</v>
      </c>
      <c r="AH629" s="80" t="s">
        <v>5182</v>
      </c>
      <c r="AI629" s="80">
        <v>39429</v>
      </c>
      <c r="AJ629" s="80">
        <v>46</v>
      </c>
      <c r="AK629" s="80">
        <v>1368</v>
      </c>
      <c r="AL629" s="80">
        <v>21</v>
      </c>
      <c r="AM629" s="80" t="s">
        <v>5614</v>
      </c>
      <c r="AN629" s="102" t="str">
        <f>HYPERLINK("https://www.youtube.com/watch?v=xbCMEFBLKZQ")</f>
        <v>https://www.youtube.com/watch?v=xbCMEFBLKZQ</v>
      </c>
      <c r="AO629" s="2"/>
      <c r="AP629" s="3"/>
      <c r="AQ629" s="3"/>
      <c r="AR629" s="3"/>
      <c r="AS629" s="3"/>
    </row>
    <row r="630" spans="1:45" ht="15">
      <c r="A630" s="66" t="s">
        <v>209</v>
      </c>
      <c r="B630" s="67"/>
      <c r="C630" s="67"/>
      <c r="D630" s="68"/>
      <c r="E630" s="70"/>
      <c r="F630" s="100" t="str">
        <f>HYPERLINK("https://i.ytimg.com/vi/sUFGVeKNyzo/default.jpg")</f>
        <v>https://i.ytimg.com/vi/sUFGVeKNyzo/default.jpg</v>
      </c>
      <c r="G630" s="67"/>
      <c r="H630" s="71"/>
      <c r="I630" s="72"/>
      <c r="J630" s="72"/>
      <c r="K630" s="71" t="s">
        <v>1862</v>
      </c>
      <c r="L630" s="75"/>
      <c r="M630" s="76">
        <v>6461.34619140625</v>
      </c>
      <c r="N630" s="76">
        <v>3542.743408203125</v>
      </c>
      <c r="O630" s="77"/>
      <c r="P630" s="78"/>
      <c r="Q630" s="78"/>
      <c r="R630" s="82"/>
      <c r="S630" s="82"/>
      <c r="T630" s="82"/>
      <c r="U630" s="82"/>
      <c r="V630" s="52"/>
      <c r="W630" s="52"/>
      <c r="X630" s="52"/>
      <c r="Y630" s="52"/>
      <c r="Z630" s="51"/>
      <c r="AA630" s="73">
        <v>630</v>
      </c>
      <c r="AB630" s="73"/>
      <c r="AC630" s="74"/>
      <c r="AD630" s="80" t="s">
        <v>1862</v>
      </c>
      <c r="AE630" s="80" t="s">
        <v>2810</v>
      </c>
      <c r="AF630" s="80"/>
      <c r="AG630" s="80" t="s">
        <v>4065</v>
      </c>
      <c r="AH630" s="80" t="s">
        <v>5183</v>
      </c>
      <c r="AI630" s="80">
        <v>124</v>
      </c>
      <c r="AJ630" s="80">
        <v>3</v>
      </c>
      <c r="AK630" s="80">
        <v>5</v>
      </c>
      <c r="AL630" s="80">
        <v>0</v>
      </c>
      <c r="AM630" s="80" t="s">
        <v>5614</v>
      </c>
      <c r="AN630" s="102" t="str">
        <f>HYPERLINK("https://www.youtube.com/watch?v=sUFGVeKNyzo")</f>
        <v>https://www.youtube.com/watch?v=sUFGVeKNyzo</v>
      </c>
      <c r="AO630" s="2"/>
      <c r="AP630" s="3"/>
      <c r="AQ630" s="3"/>
      <c r="AR630" s="3"/>
      <c r="AS630" s="3"/>
    </row>
    <row r="631" spans="1:45" ht="15">
      <c r="A631" s="66" t="s">
        <v>809</v>
      </c>
      <c r="B631" s="67"/>
      <c r="C631" s="67"/>
      <c r="D631" s="68"/>
      <c r="E631" s="70"/>
      <c r="F631" s="100" t="str">
        <f>HYPERLINK("https://i.ytimg.com/vi/nF4q27HzKJ0/default.jpg")</f>
        <v>https://i.ytimg.com/vi/nF4q27HzKJ0/default.jpg</v>
      </c>
      <c r="G631" s="67"/>
      <c r="H631" s="71"/>
      <c r="I631" s="72"/>
      <c r="J631" s="72"/>
      <c r="K631" s="71" t="s">
        <v>1863</v>
      </c>
      <c r="L631" s="75"/>
      <c r="M631" s="76">
        <v>8478.6748046875</v>
      </c>
      <c r="N631" s="76">
        <v>2376.955322265625</v>
      </c>
      <c r="O631" s="77"/>
      <c r="P631" s="78"/>
      <c r="Q631" s="78"/>
      <c r="R631" s="82"/>
      <c r="S631" s="82"/>
      <c r="T631" s="82"/>
      <c r="U631" s="82"/>
      <c r="V631" s="52"/>
      <c r="W631" s="52"/>
      <c r="X631" s="52"/>
      <c r="Y631" s="52"/>
      <c r="Z631" s="51"/>
      <c r="AA631" s="73">
        <v>631</v>
      </c>
      <c r="AB631" s="73"/>
      <c r="AC631" s="74"/>
      <c r="AD631" s="80" t="s">
        <v>1863</v>
      </c>
      <c r="AE631" s="80"/>
      <c r="AF631" s="80" t="s">
        <v>3556</v>
      </c>
      <c r="AG631" s="80" t="s">
        <v>4291</v>
      </c>
      <c r="AH631" s="80" t="s">
        <v>5184</v>
      </c>
      <c r="AI631" s="80">
        <v>1226905</v>
      </c>
      <c r="AJ631" s="80">
        <v>279</v>
      </c>
      <c r="AK631" s="80">
        <v>8180</v>
      </c>
      <c r="AL631" s="80">
        <v>1063</v>
      </c>
      <c r="AM631" s="80" t="s">
        <v>5614</v>
      </c>
      <c r="AN631" s="102" t="str">
        <f>HYPERLINK("https://www.youtube.com/watch?v=nF4q27HzKJ0")</f>
        <v>https://www.youtube.com/watch?v=nF4q27HzKJ0</v>
      </c>
      <c r="AO631" s="2"/>
      <c r="AP631" s="3"/>
      <c r="AQ631" s="3"/>
      <c r="AR631" s="3"/>
      <c r="AS631" s="3"/>
    </row>
    <row r="632" spans="1:45" ht="15">
      <c r="A632" s="66" t="s">
        <v>810</v>
      </c>
      <c r="B632" s="67"/>
      <c r="C632" s="67"/>
      <c r="D632" s="68"/>
      <c r="E632" s="70"/>
      <c r="F632" s="100" t="str">
        <f>HYPERLINK("https://i.ytimg.com/vi/_ZZCBy_3Xeg/default.jpg")</f>
        <v>https://i.ytimg.com/vi/_ZZCBy_3Xeg/default.jpg</v>
      </c>
      <c r="G632" s="67"/>
      <c r="H632" s="71"/>
      <c r="I632" s="72"/>
      <c r="J632" s="72"/>
      <c r="K632" s="71" t="s">
        <v>1864</v>
      </c>
      <c r="L632" s="75"/>
      <c r="M632" s="76">
        <v>8794.880859375</v>
      </c>
      <c r="N632" s="76">
        <v>3485.109619140625</v>
      </c>
      <c r="O632" s="77"/>
      <c r="P632" s="78"/>
      <c r="Q632" s="78"/>
      <c r="R632" s="82"/>
      <c r="S632" s="82"/>
      <c r="T632" s="82"/>
      <c r="U632" s="82"/>
      <c r="V632" s="52"/>
      <c r="W632" s="52"/>
      <c r="X632" s="52"/>
      <c r="Y632" s="52"/>
      <c r="Z632" s="51"/>
      <c r="AA632" s="73">
        <v>632</v>
      </c>
      <c r="AB632" s="73"/>
      <c r="AC632" s="74"/>
      <c r="AD632" s="80" t="s">
        <v>1864</v>
      </c>
      <c r="AE632" s="80" t="s">
        <v>2811</v>
      </c>
      <c r="AF632" s="80" t="s">
        <v>3557</v>
      </c>
      <c r="AG632" s="80" t="s">
        <v>4292</v>
      </c>
      <c r="AH632" s="80" t="s">
        <v>5185</v>
      </c>
      <c r="AI632" s="80">
        <v>1135703</v>
      </c>
      <c r="AJ632" s="80">
        <v>154</v>
      </c>
      <c r="AK632" s="80">
        <v>3738</v>
      </c>
      <c r="AL632" s="80">
        <v>384</v>
      </c>
      <c r="AM632" s="80" t="s">
        <v>5614</v>
      </c>
      <c r="AN632" s="102" t="str">
        <f>HYPERLINK("https://www.youtube.com/watch?v=_ZZCBy_3Xeg")</f>
        <v>https://www.youtube.com/watch?v=_ZZCBy_3Xeg</v>
      </c>
      <c r="AO632" s="2"/>
      <c r="AP632" s="3"/>
      <c r="AQ632" s="3"/>
      <c r="AR632" s="3"/>
      <c r="AS632" s="3"/>
    </row>
    <row r="633" spans="1:45" ht="15">
      <c r="A633" s="66" t="s">
        <v>811</v>
      </c>
      <c r="B633" s="67"/>
      <c r="C633" s="67"/>
      <c r="D633" s="68"/>
      <c r="E633" s="70"/>
      <c r="F633" s="100" t="str">
        <f>HYPERLINK("https://i.ytimg.com/vi/7gM9ky_LxmY/default.jpg")</f>
        <v>https://i.ytimg.com/vi/7gM9ky_LxmY/default.jpg</v>
      </c>
      <c r="G633" s="67"/>
      <c r="H633" s="71"/>
      <c r="I633" s="72"/>
      <c r="J633" s="72"/>
      <c r="K633" s="71" t="s">
        <v>1865</v>
      </c>
      <c r="L633" s="75"/>
      <c r="M633" s="76">
        <v>8863.7529296875</v>
      </c>
      <c r="N633" s="76">
        <v>3623.60009765625</v>
      </c>
      <c r="O633" s="77"/>
      <c r="P633" s="78"/>
      <c r="Q633" s="78"/>
      <c r="R633" s="82"/>
      <c r="S633" s="82"/>
      <c r="T633" s="82"/>
      <c r="U633" s="82"/>
      <c r="V633" s="52"/>
      <c r="W633" s="52"/>
      <c r="X633" s="52"/>
      <c r="Y633" s="52"/>
      <c r="Z633" s="51"/>
      <c r="AA633" s="73">
        <v>633</v>
      </c>
      <c r="AB633" s="73"/>
      <c r="AC633" s="74"/>
      <c r="AD633" s="80" t="s">
        <v>1865</v>
      </c>
      <c r="AE633" s="80" t="s">
        <v>2812</v>
      </c>
      <c r="AF633" s="80" t="s">
        <v>3558</v>
      </c>
      <c r="AG633" s="80" t="s">
        <v>3969</v>
      </c>
      <c r="AH633" s="80" t="s">
        <v>5186</v>
      </c>
      <c r="AI633" s="80">
        <v>3338779</v>
      </c>
      <c r="AJ633" s="80">
        <v>152</v>
      </c>
      <c r="AK633" s="80">
        <v>11888</v>
      </c>
      <c r="AL633" s="80">
        <v>834</v>
      </c>
      <c r="AM633" s="80" t="s">
        <v>5614</v>
      </c>
      <c r="AN633" s="102" t="str">
        <f>HYPERLINK("https://www.youtube.com/watch?v=7gM9ky_LxmY")</f>
        <v>https://www.youtube.com/watch?v=7gM9ky_LxmY</v>
      </c>
      <c r="AO633" s="2"/>
      <c r="AP633" s="3"/>
      <c r="AQ633" s="3"/>
      <c r="AR633" s="3"/>
      <c r="AS633" s="3"/>
    </row>
    <row r="634" spans="1:45" ht="15">
      <c r="A634" s="66" t="s">
        <v>812</v>
      </c>
      <c r="B634" s="67"/>
      <c r="C634" s="67"/>
      <c r="D634" s="68"/>
      <c r="E634" s="70"/>
      <c r="F634" s="100" t="str">
        <f>HYPERLINK("https://i.ytimg.com/vi/fZONU029MPU/default.jpg")</f>
        <v>https://i.ytimg.com/vi/fZONU029MPU/default.jpg</v>
      </c>
      <c r="G634" s="67"/>
      <c r="H634" s="71"/>
      <c r="I634" s="72"/>
      <c r="J634" s="72"/>
      <c r="K634" s="71" t="s">
        <v>1866</v>
      </c>
      <c r="L634" s="75"/>
      <c r="M634" s="76">
        <v>8347.8779296875</v>
      </c>
      <c r="N634" s="76">
        <v>2153.73046875</v>
      </c>
      <c r="O634" s="77"/>
      <c r="P634" s="78"/>
      <c r="Q634" s="78"/>
      <c r="R634" s="82"/>
      <c r="S634" s="82"/>
      <c r="T634" s="82"/>
      <c r="U634" s="82"/>
      <c r="V634" s="52"/>
      <c r="W634" s="52"/>
      <c r="X634" s="52"/>
      <c r="Y634" s="52"/>
      <c r="Z634" s="51"/>
      <c r="AA634" s="73">
        <v>634</v>
      </c>
      <c r="AB634" s="73"/>
      <c r="AC634" s="74"/>
      <c r="AD634" s="80" t="s">
        <v>1866</v>
      </c>
      <c r="AE634" s="80" t="s">
        <v>2813</v>
      </c>
      <c r="AF634" s="80" t="s">
        <v>3559</v>
      </c>
      <c r="AG634" s="80" t="s">
        <v>4293</v>
      </c>
      <c r="AH634" s="80" t="s">
        <v>5187</v>
      </c>
      <c r="AI634" s="80">
        <v>119697</v>
      </c>
      <c r="AJ634" s="80">
        <v>97</v>
      </c>
      <c r="AK634" s="80">
        <v>1467</v>
      </c>
      <c r="AL634" s="80">
        <v>127</v>
      </c>
      <c r="AM634" s="80" t="s">
        <v>5614</v>
      </c>
      <c r="AN634" s="102" t="str">
        <f>HYPERLINK("https://www.youtube.com/watch?v=fZONU029MPU")</f>
        <v>https://www.youtube.com/watch?v=fZONU029MPU</v>
      </c>
      <c r="AO634" s="2"/>
      <c r="AP634" s="3"/>
      <c r="AQ634" s="3"/>
      <c r="AR634" s="3"/>
      <c r="AS634" s="3"/>
    </row>
    <row r="635" spans="1:45" ht="15">
      <c r="A635" s="66" t="s">
        <v>813</v>
      </c>
      <c r="B635" s="67"/>
      <c r="C635" s="67"/>
      <c r="D635" s="68"/>
      <c r="E635" s="70"/>
      <c r="F635" s="100" t="str">
        <f>HYPERLINK("https://i.ytimg.com/vi/_y5xyUNIaUo/default.jpg")</f>
        <v>https://i.ytimg.com/vi/_y5xyUNIaUo/default.jpg</v>
      </c>
      <c r="G635" s="67"/>
      <c r="H635" s="71"/>
      <c r="I635" s="72"/>
      <c r="J635" s="72"/>
      <c r="K635" s="71" t="s">
        <v>1867</v>
      </c>
      <c r="L635" s="75"/>
      <c r="M635" s="76">
        <v>8620.107421875</v>
      </c>
      <c r="N635" s="76">
        <v>2880.829833984375</v>
      </c>
      <c r="O635" s="77"/>
      <c r="P635" s="78"/>
      <c r="Q635" s="78"/>
      <c r="R635" s="82"/>
      <c r="S635" s="82"/>
      <c r="T635" s="82"/>
      <c r="U635" s="82"/>
      <c r="V635" s="52"/>
      <c r="W635" s="52"/>
      <c r="X635" s="52"/>
      <c r="Y635" s="52"/>
      <c r="Z635" s="51"/>
      <c r="AA635" s="73">
        <v>635</v>
      </c>
      <c r="AB635" s="73"/>
      <c r="AC635" s="74"/>
      <c r="AD635" s="80" t="s">
        <v>1867</v>
      </c>
      <c r="AE635" s="80" t="s">
        <v>2814</v>
      </c>
      <c r="AF635" s="80" t="s">
        <v>3560</v>
      </c>
      <c r="AG635" s="80" t="s">
        <v>4294</v>
      </c>
      <c r="AH635" s="80" t="s">
        <v>5188</v>
      </c>
      <c r="AI635" s="80">
        <v>551769</v>
      </c>
      <c r="AJ635" s="80">
        <v>699</v>
      </c>
      <c r="AK635" s="80">
        <v>2956</v>
      </c>
      <c r="AL635" s="80">
        <v>555</v>
      </c>
      <c r="AM635" s="80" t="s">
        <v>5614</v>
      </c>
      <c r="AN635" s="102" t="str">
        <f>HYPERLINK("https://www.youtube.com/watch?v=_y5xyUNIaUo")</f>
        <v>https://www.youtube.com/watch?v=_y5xyUNIaUo</v>
      </c>
      <c r="AO635" s="2"/>
      <c r="AP635" s="3"/>
      <c r="AQ635" s="3"/>
      <c r="AR635" s="3"/>
      <c r="AS635" s="3"/>
    </row>
    <row r="636" spans="1:45" ht="15">
      <c r="A636" s="66" t="s">
        <v>814</v>
      </c>
      <c r="B636" s="67"/>
      <c r="C636" s="67"/>
      <c r="D636" s="68"/>
      <c r="E636" s="70"/>
      <c r="F636" s="100" t="str">
        <f>HYPERLINK("https://i.ytimg.com/vi/7trBUu7g9tg/default.jpg")</f>
        <v>https://i.ytimg.com/vi/7trBUu7g9tg/default.jpg</v>
      </c>
      <c r="G636" s="67"/>
      <c r="H636" s="71"/>
      <c r="I636" s="72"/>
      <c r="J636" s="72"/>
      <c r="K636" s="71" t="s">
        <v>1868</v>
      </c>
      <c r="L636" s="75"/>
      <c r="M636" s="76">
        <v>8596.7275390625</v>
      </c>
      <c r="N636" s="76">
        <v>2671.5595703125</v>
      </c>
      <c r="O636" s="77"/>
      <c r="P636" s="78"/>
      <c r="Q636" s="78"/>
      <c r="R636" s="82"/>
      <c r="S636" s="82"/>
      <c r="T636" s="82"/>
      <c r="U636" s="82"/>
      <c r="V636" s="52"/>
      <c r="W636" s="52"/>
      <c r="X636" s="52"/>
      <c r="Y636" s="52"/>
      <c r="Z636" s="51"/>
      <c r="AA636" s="73">
        <v>636</v>
      </c>
      <c r="AB636" s="73"/>
      <c r="AC636" s="74"/>
      <c r="AD636" s="80" t="s">
        <v>1868</v>
      </c>
      <c r="AE636" s="80" t="s">
        <v>2815</v>
      </c>
      <c r="AF636" s="80" t="s">
        <v>3561</v>
      </c>
      <c r="AG636" s="80" t="s">
        <v>4065</v>
      </c>
      <c r="AH636" s="80" t="s">
        <v>5189</v>
      </c>
      <c r="AI636" s="80">
        <v>739</v>
      </c>
      <c r="AJ636" s="80">
        <v>5</v>
      </c>
      <c r="AK636" s="80">
        <v>55</v>
      </c>
      <c r="AL636" s="80">
        <v>1</v>
      </c>
      <c r="AM636" s="80" t="s">
        <v>5614</v>
      </c>
      <c r="AN636" s="102" t="str">
        <f>HYPERLINK("https://www.youtube.com/watch?v=7trBUu7g9tg")</f>
        <v>https://www.youtube.com/watch?v=7trBUu7g9tg</v>
      </c>
      <c r="AO636" s="2"/>
      <c r="AP636" s="3"/>
      <c r="AQ636" s="3"/>
      <c r="AR636" s="3"/>
      <c r="AS636" s="3"/>
    </row>
    <row r="637" spans="1:45" ht="15">
      <c r="A637" s="66" t="s">
        <v>815</v>
      </c>
      <c r="B637" s="67"/>
      <c r="C637" s="67"/>
      <c r="D637" s="68"/>
      <c r="E637" s="70"/>
      <c r="F637" s="100" t="str">
        <f>HYPERLINK("https://i.ytimg.com/vi/UJXHztP6NxQ/default.jpg")</f>
        <v>https://i.ytimg.com/vi/UJXHztP6NxQ/default.jpg</v>
      </c>
      <c r="G637" s="67"/>
      <c r="H637" s="71"/>
      <c r="I637" s="72"/>
      <c r="J637" s="72"/>
      <c r="K637" s="71" t="s">
        <v>1869</v>
      </c>
      <c r="L637" s="75"/>
      <c r="M637" s="76">
        <v>8542.8388671875</v>
      </c>
      <c r="N637" s="76">
        <v>2673.68017578125</v>
      </c>
      <c r="O637" s="77"/>
      <c r="P637" s="78"/>
      <c r="Q637" s="78"/>
      <c r="R637" s="82"/>
      <c r="S637" s="82"/>
      <c r="T637" s="82"/>
      <c r="U637" s="82"/>
      <c r="V637" s="52"/>
      <c r="W637" s="52"/>
      <c r="X637" s="52"/>
      <c r="Y637" s="52"/>
      <c r="Z637" s="51"/>
      <c r="AA637" s="73">
        <v>637</v>
      </c>
      <c r="AB637" s="73"/>
      <c r="AC637" s="74"/>
      <c r="AD637" s="80" t="s">
        <v>1869</v>
      </c>
      <c r="AE637" s="80" t="s">
        <v>2816</v>
      </c>
      <c r="AF637" s="80" t="s">
        <v>3562</v>
      </c>
      <c r="AG637" s="80" t="s">
        <v>3962</v>
      </c>
      <c r="AH637" s="80" t="s">
        <v>5190</v>
      </c>
      <c r="AI637" s="80">
        <v>13896</v>
      </c>
      <c r="AJ637" s="80">
        <v>7</v>
      </c>
      <c r="AK637" s="80">
        <v>0</v>
      </c>
      <c r="AL637" s="80">
        <v>0</v>
      </c>
      <c r="AM637" s="80" t="s">
        <v>5614</v>
      </c>
      <c r="AN637" s="102" t="str">
        <f>HYPERLINK("https://www.youtube.com/watch?v=UJXHztP6NxQ")</f>
        <v>https://www.youtube.com/watch?v=UJXHztP6NxQ</v>
      </c>
      <c r="AO637" s="2"/>
      <c r="AP637" s="3"/>
      <c r="AQ637" s="3"/>
      <c r="AR637" s="3"/>
      <c r="AS637" s="3"/>
    </row>
    <row r="638" spans="1:45" ht="15">
      <c r="A638" s="66" t="s">
        <v>816</v>
      </c>
      <c r="B638" s="67"/>
      <c r="C638" s="67"/>
      <c r="D638" s="68"/>
      <c r="E638" s="70"/>
      <c r="F638" s="100" t="str">
        <f>HYPERLINK("https://i.ytimg.com/vi/lQ9_ROHrlHo/default.jpg")</f>
        <v>https://i.ytimg.com/vi/lQ9_ROHrlHo/default.jpg</v>
      </c>
      <c r="G638" s="67"/>
      <c r="H638" s="71"/>
      <c r="I638" s="72"/>
      <c r="J638" s="72"/>
      <c r="K638" s="71" t="s">
        <v>1870</v>
      </c>
      <c r="L638" s="75"/>
      <c r="M638" s="76">
        <v>8511.5927734375</v>
      </c>
      <c r="N638" s="76">
        <v>2552.42236328125</v>
      </c>
      <c r="O638" s="77"/>
      <c r="P638" s="78"/>
      <c r="Q638" s="78"/>
      <c r="R638" s="82"/>
      <c r="S638" s="82"/>
      <c r="T638" s="82"/>
      <c r="U638" s="82"/>
      <c r="V638" s="52"/>
      <c r="W638" s="52"/>
      <c r="X638" s="52"/>
      <c r="Y638" s="52"/>
      <c r="Z638" s="51"/>
      <c r="AA638" s="73">
        <v>638</v>
      </c>
      <c r="AB638" s="73"/>
      <c r="AC638" s="74"/>
      <c r="AD638" s="80" t="s">
        <v>1870</v>
      </c>
      <c r="AE638" s="80" t="s">
        <v>2817</v>
      </c>
      <c r="AF638" s="80" t="s">
        <v>3563</v>
      </c>
      <c r="AG638" s="80" t="s">
        <v>4295</v>
      </c>
      <c r="AH638" s="80" t="s">
        <v>5191</v>
      </c>
      <c r="AI638" s="80">
        <v>1047256</v>
      </c>
      <c r="AJ638" s="80">
        <v>641</v>
      </c>
      <c r="AK638" s="80">
        <v>9884</v>
      </c>
      <c r="AL638" s="80">
        <v>565</v>
      </c>
      <c r="AM638" s="80" t="s">
        <v>5614</v>
      </c>
      <c r="AN638" s="102" t="str">
        <f>HYPERLINK("https://www.youtube.com/watch?v=lQ9_ROHrlHo")</f>
        <v>https://www.youtube.com/watch?v=lQ9_ROHrlHo</v>
      </c>
      <c r="AO638" s="2"/>
      <c r="AP638" s="3"/>
      <c r="AQ638" s="3"/>
      <c r="AR638" s="3"/>
      <c r="AS638" s="3"/>
    </row>
    <row r="639" spans="1:45" ht="15">
      <c r="A639" s="66" t="s">
        <v>817</v>
      </c>
      <c r="B639" s="67"/>
      <c r="C639" s="67"/>
      <c r="D639" s="68"/>
      <c r="E639" s="70"/>
      <c r="F639" s="100" t="str">
        <f>HYPERLINK("https://i.ytimg.com/vi/s-Z7LJdw22c/default.jpg")</f>
        <v>https://i.ytimg.com/vi/s-Z7LJdw22c/default.jpg</v>
      </c>
      <c r="G639" s="67"/>
      <c r="H639" s="71"/>
      <c r="I639" s="72"/>
      <c r="J639" s="72"/>
      <c r="K639" s="71" t="s">
        <v>1871</v>
      </c>
      <c r="L639" s="75"/>
      <c r="M639" s="76">
        <v>8621.287109375</v>
      </c>
      <c r="N639" s="76">
        <v>2842.72314453125</v>
      </c>
      <c r="O639" s="77"/>
      <c r="P639" s="78"/>
      <c r="Q639" s="78"/>
      <c r="R639" s="82"/>
      <c r="S639" s="82"/>
      <c r="T639" s="82"/>
      <c r="U639" s="82"/>
      <c r="V639" s="52"/>
      <c r="W639" s="52"/>
      <c r="X639" s="52"/>
      <c r="Y639" s="52"/>
      <c r="Z639" s="51"/>
      <c r="AA639" s="73">
        <v>639</v>
      </c>
      <c r="AB639" s="73"/>
      <c r="AC639" s="74"/>
      <c r="AD639" s="80" t="s">
        <v>1871</v>
      </c>
      <c r="AE639" s="80" t="s">
        <v>2818</v>
      </c>
      <c r="AF639" s="80" t="s">
        <v>3564</v>
      </c>
      <c r="AG639" s="80" t="s">
        <v>4296</v>
      </c>
      <c r="AH639" s="80" t="s">
        <v>5192</v>
      </c>
      <c r="AI639" s="80">
        <v>7513364</v>
      </c>
      <c r="AJ639" s="80">
        <v>13553</v>
      </c>
      <c r="AK639" s="80">
        <v>274982</v>
      </c>
      <c r="AL639" s="80">
        <v>7130</v>
      </c>
      <c r="AM639" s="80" t="s">
        <v>5614</v>
      </c>
      <c r="AN639" s="102" t="str">
        <f>HYPERLINK("https://www.youtube.com/watch?v=s-Z7LJdw22c")</f>
        <v>https://www.youtube.com/watch?v=s-Z7LJdw22c</v>
      </c>
      <c r="AO639" s="2"/>
      <c r="AP639" s="3"/>
      <c r="AQ639" s="3"/>
      <c r="AR639" s="3"/>
      <c r="AS639" s="3"/>
    </row>
    <row r="640" spans="1:45" ht="15">
      <c r="A640" s="66" t="s">
        <v>818</v>
      </c>
      <c r="B640" s="67"/>
      <c r="C640" s="67"/>
      <c r="D640" s="68"/>
      <c r="E640" s="70"/>
      <c r="F640" s="100" t="str">
        <f>HYPERLINK("https://i.ytimg.com/vi/WzlIMOAAftw/default.jpg")</f>
        <v>https://i.ytimg.com/vi/WzlIMOAAftw/default.jpg</v>
      </c>
      <c r="G640" s="67"/>
      <c r="H640" s="71"/>
      <c r="I640" s="72"/>
      <c r="J640" s="72"/>
      <c r="K640" s="71" t="s">
        <v>1872</v>
      </c>
      <c r="L640" s="75"/>
      <c r="M640" s="76">
        <v>8401.341796875</v>
      </c>
      <c r="N640" s="76">
        <v>2244.86474609375</v>
      </c>
      <c r="O640" s="77"/>
      <c r="P640" s="78"/>
      <c r="Q640" s="78"/>
      <c r="R640" s="82"/>
      <c r="S640" s="82"/>
      <c r="T640" s="82"/>
      <c r="U640" s="82"/>
      <c r="V640" s="52"/>
      <c r="W640" s="52"/>
      <c r="X640" s="52"/>
      <c r="Y640" s="52"/>
      <c r="Z640" s="51"/>
      <c r="AA640" s="73">
        <v>640</v>
      </c>
      <c r="AB640" s="73"/>
      <c r="AC640" s="74"/>
      <c r="AD640" s="80" t="s">
        <v>1872</v>
      </c>
      <c r="AE640" s="80" t="s">
        <v>2819</v>
      </c>
      <c r="AF640" s="80"/>
      <c r="AG640" s="80" t="s">
        <v>4065</v>
      </c>
      <c r="AH640" s="80" t="s">
        <v>5193</v>
      </c>
      <c r="AI640" s="80">
        <v>7</v>
      </c>
      <c r="AJ640" s="80">
        <v>0</v>
      </c>
      <c r="AK640" s="80">
        <v>0</v>
      </c>
      <c r="AL640" s="80">
        <v>0</v>
      </c>
      <c r="AM640" s="80" t="s">
        <v>5614</v>
      </c>
      <c r="AN640" s="102" t="str">
        <f>HYPERLINK("https://www.youtube.com/watch?v=WzlIMOAAftw")</f>
        <v>https://www.youtube.com/watch?v=WzlIMOAAftw</v>
      </c>
      <c r="AO640" s="2"/>
      <c r="AP640" s="3"/>
      <c r="AQ640" s="3"/>
      <c r="AR640" s="3"/>
      <c r="AS640" s="3"/>
    </row>
    <row r="641" spans="1:45" ht="15">
      <c r="A641" s="66" t="s">
        <v>819</v>
      </c>
      <c r="B641" s="67"/>
      <c r="C641" s="67"/>
      <c r="D641" s="68"/>
      <c r="E641" s="70"/>
      <c r="F641" s="100" t="str">
        <f>HYPERLINK("https://i.ytimg.com/vi/078icPoZC8c/default.jpg")</f>
        <v>https://i.ytimg.com/vi/078icPoZC8c/default.jpg</v>
      </c>
      <c r="G641" s="67"/>
      <c r="H641" s="71"/>
      <c r="I641" s="72"/>
      <c r="J641" s="72"/>
      <c r="K641" s="71" t="s">
        <v>1873</v>
      </c>
      <c r="L641" s="75"/>
      <c r="M641" s="76">
        <v>8817.3037109375</v>
      </c>
      <c r="N641" s="76">
        <v>3218.544677734375</v>
      </c>
      <c r="O641" s="77"/>
      <c r="P641" s="78"/>
      <c r="Q641" s="78"/>
      <c r="R641" s="82"/>
      <c r="S641" s="82"/>
      <c r="T641" s="82"/>
      <c r="U641" s="82"/>
      <c r="V641" s="52"/>
      <c r="W641" s="52"/>
      <c r="X641" s="52"/>
      <c r="Y641" s="52"/>
      <c r="Z641" s="51"/>
      <c r="AA641" s="73">
        <v>641</v>
      </c>
      <c r="AB641" s="73"/>
      <c r="AC641" s="74"/>
      <c r="AD641" s="80" t="s">
        <v>1873</v>
      </c>
      <c r="AE641" s="80" t="s">
        <v>2820</v>
      </c>
      <c r="AF641" s="80" t="s">
        <v>3565</v>
      </c>
      <c r="AG641" s="80" t="s">
        <v>4042</v>
      </c>
      <c r="AH641" s="80" t="s">
        <v>5194</v>
      </c>
      <c r="AI641" s="80">
        <v>383690</v>
      </c>
      <c r="AJ641" s="80">
        <v>32</v>
      </c>
      <c r="AK641" s="80">
        <v>496</v>
      </c>
      <c r="AL641" s="80">
        <v>44</v>
      </c>
      <c r="AM641" s="80" t="s">
        <v>5614</v>
      </c>
      <c r="AN641" s="102" t="str">
        <f>HYPERLINK("https://www.youtube.com/watch?v=078icPoZC8c")</f>
        <v>https://www.youtube.com/watch?v=078icPoZC8c</v>
      </c>
      <c r="AO641" s="2"/>
      <c r="AP641" s="3"/>
      <c r="AQ641" s="3"/>
      <c r="AR641" s="3"/>
      <c r="AS641" s="3"/>
    </row>
    <row r="642" spans="1:45" ht="15">
      <c r="A642" s="66" t="s">
        <v>820</v>
      </c>
      <c r="B642" s="67"/>
      <c r="C642" s="67"/>
      <c r="D642" s="68"/>
      <c r="E642" s="70"/>
      <c r="F642" s="100" t="str">
        <f>HYPERLINK("https://i.ytimg.com/vi/O3gTz0Ir3rI/default.jpg")</f>
        <v>https://i.ytimg.com/vi/O3gTz0Ir3rI/default.jpg</v>
      </c>
      <c r="G642" s="67"/>
      <c r="H642" s="71"/>
      <c r="I642" s="72"/>
      <c r="J642" s="72"/>
      <c r="K642" s="71" t="s">
        <v>1874</v>
      </c>
      <c r="L642" s="75"/>
      <c r="M642" s="76">
        <v>4167.6669921875</v>
      </c>
      <c r="N642" s="76">
        <v>3298.54833984375</v>
      </c>
      <c r="O642" s="77"/>
      <c r="P642" s="78"/>
      <c r="Q642" s="78"/>
      <c r="R642" s="82"/>
      <c r="S642" s="82"/>
      <c r="T642" s="82"/>
      <c r="U642" s="82"/>
      <c r="V642" s="52"/>
      <c r="W642" s="52"/>
      <c r="X642" s="52"/>
      <c r="Y642" s="52"/>
      <c r="Z642" s="51"/>
      <c r="AA642" s="73">
        <v>642</v>
      </c>
      <c r="AB642" s="73"/>
      <c r="AC642" s="74"/>
      <c r="AD642" s="80" t="s">
        <v>1874</v>
      </c>
      <c r="AE642" s="80" t="s">
        <v>2821</v>
      </c>
      <c r="AF642" s="80" t="s">
        <v>3566</v>
      </c>
      <c r="AG642" s="80" t="s">
        <v>4297</v>
      </c>
      <c r="AH642" s="80" t="s">
        <v>5195</v>
      </c>
      <c r="AI642" s="80">
        <v>961245</v>
      </c>
      <c r="AJ642" s="80">
        <v>90</v>
      </c>
      <c r="AK642" s="80">
        <v>13679</v>
      </c>
      <c r="AL642" s="80">
        <v>745</v>
      </c>
      <c r="AM642" s="80" t="s">
        <v>5614</v>
      </c>
      <c r="AN642" s="102" t="str">
        <f>HYPERLINK("https://www.youtube.com/watch?v=O3gTz0Ir3rI")</f>
        <v>https://www.youtube.com/watch?v=O3gTz0Ir3rI</v>
      </c>
      <c r="AO642" s="2"/>
      <c r="AP642" s="3"/>
      <c r="AQ642" s="3"/>
      <c r="AR642" s="3"/>
      <c r="AS642" s="3"/>
    </row>
    <row r="643" spans="1:45" ht="15">
      <c r="A643" s="66" t="s">
        <v>821</v>
      </c>
      <c r="B643" s="67"/>
      <c r="C643" s="67"/>
      <c r="D643" s="68"/>
      <c r="E643" s="70"/>
      <c r="F643" s="100" t="str">
        <f>HYPERLINK("https://i.ytimg.com/vi/Bdd_Dr7QUQ4/default.jpg")</f>
        <v>https://i.ytimg.com/vi/Bdd_Dr7QUQ4/default.jpg</v>
      </c>
      <c r="G643" s="67"/>
      <c r="H643" s="71"/>
      <c r="I643" s="72"/>
      <c r="J643" s="72"/>
      <c r="K643" s="71" t="s">
        <v>1875</v>
      </c>
      <c r="L643" s="75"/>
      <c r="M643" s="76">
        <v>8764.744140625</v>
      </c>
      <c r="N643" s="76">
        <v>2833.425537109375</v>
      </c>
      <c r="O643" s="77"/>
      <c r="P643" s="78"/>
      <c r="Q643" s="78"/>
      <c r="R643" s="82"/>
      <c r="S643" s="82"/>
      <c r="T643" s="82"/>
      <c r="U643" s="82"/>
      <c r="V643" s="52"/>
      <c r="W643" s="52"/>
      <c r="X643" s="52"/>
      <c r="Y643" s="52"/>
      <c r="Z643" s="51"/>
      <c r="AA643" s="73">
        <v>643</v>
      </c>
      <c r="AB643" s="73"/>
      <c r="AC643" s="74"/>
      <c r="AD643" s="80" t="s">
        <v>1875</v>
      </c>
      <c r="AE643" s="80" t="s">
        <v>2822</v>
      </c>
      <c r="AF643" s="80" t="s">
        <v>3567</v>
      </c>
      <c r="AG643" s="80" t="s">
        <v>4298</v>
      </c>
      <c r="AH643" s="80" t="s">
        <v>5196</v>
      </c>
      <c r="AI643" s="80">
        <v>269302</v>
      </c>
      <c r="AJ643" s="80">
        <v>77</v>
      </c>
      <c r="AK643" s="80">
        <v>1636</v>
      </c>
      <c r="AL643" s="80">
        <v>84</v>
      </c>
      <c r="AM643" s="80" t="s">
        <v>5614</v>
      </c>
      <c r="AN643" s="102" t="str">
        <f>HYPERLINK("https://www.youtube.com/watch?v=Bdd_Dr7QUQ4")</f>
        <v>https://www.youtube.com/watch?v=Bdd_Dr7QUQ4</v>
      </c>
      <c r="AO643" s="2"/>
      <c r="AP643" s="3"/>
      <c r="AQ643" s="3"/>
      <c r="AR643" s="3"/>
      <c r="AS643" s="3"/>
    </row>
    <row r="644" spans="1:45" ht="15">
      <c r="A644" s="66" t="s">
        <v>822</v>
      </c>
      <c r="B644" s="67"/>
      <c r="C644" s="67"/>
      <c r="D644" s="68"/>
      <c r="E644" s="70"/>
      <c r="F644" s="100" t="str">
        <f>HYPERLINK("https://i.ytimg.com/vi/Hj1ZMRV2jXc/default.jpg")</f>
        <v>https://i.ytimg.com/vi/Hj1ZMRV2jXc/default.jpg</v>
      </c>
      <c r="G644" s="67"/>
      <c r="H644" s="71"/>
      <c r="I644" s="72"/>
      <c r="J644" s="72"/>
      <c r="K644" s="71" t="s">
        <v>1876</v>
      </c>
      <c r="L644" s="75"/>
      <c r="M644" s="76">
        <v>8878.142578125</v>
      </c>
      <c r="N644" s="76">
        <v>3426.590576171875</v>
      </c>
      <c r="O644" s="77"/>
      <c r="P644" s="78"/>
      <c r="Q644" s="78"/>
      <c r="R644" s="82"/>
      <c r="S644" s="82"/>
      <c r="T644" s="82"/>
      <c r="U644" s="82"/>
      <c r="V644" s="52"/>
      <c r="W644" s="52"/>
      <c r="X644" s="52"/>
      <c r="Y644" s="52"/>
      <c r="Z644" s="51"/>
      <c r="AA644" s="73">
        <v>644</v>
      </c>
      <c r="AB644" s="73"/>
      <c r="AC644" s="74"/>
      <c r="AD644" s="80" t="s">
        <v>1876</v>
      </c>
      <c r="AE644" s="80" t="s">
        <v>2823</v>
      </c>
      <c r="AF644" s="80" t="s">
        <v>3568</v>
      </c>
      <c r="AG644" s="80" t="s">
        <v>4299</v>
      </c>
      <c r="AH644" s="80" t="s">
        <v>5197</v>
      </c>
      <c r="AI644" s="80">
        <v>46436</v>
      </c>
      <c r="AJ644" s="80">
        <v>5</v>
      </c>
      <c r="AK644" s="80">
        <v>83</v>
      </c>
      <c r="AL644" s="80">
        <v>5</v>
      </c>
      <c r="AM644" s="80" t="s">
        <v>5614</v>
      </c>
      <c r="AN644" s="102" t="str">
        <f>HYPERLINK("https://www.youtube.com/watch?v=Hj1ZMRV2jXc")</f>
        <v>https://www.youtube.com/watch?v=Hj1ZMRV2jXc</v>
      </c>
      <c r="AO644" s="2"/>
      <c r="AP644" s="3"/>
      <c r="AQ644" s="3"/>
      <c r="AR644" s="3"/>
      <c r="AS644" s="3"/>
    </row>
    <row r="645" spans="1:45" ht="15">
      <c r="A645" s="66" t="s">
        <v>823</v>
      </c>
      <c r="B645" s="67"/>
      <c r="C645" s="67"/>
      <c r="D645" s="68"/>
      <c r="E645" s="70"/>
      <c r="F645" s="100" t="str">
        <f>HYPERLINK("https://i.ytimg.com/vi/MirnhF328D4/default.jpg")</f>
        <v>https://i.ytimg.com/vi/MirnhF328D4/default.jpg</v>
      </c>
      <c r="G645" s="67"/>
      <c r="H645" s="71"/>
      <c r="I645" s="72"/>
      <c r="J645" s="72"/>
      <c r="K645" s="71" t="s">
        <v>1877</v>
      </c>
      <c r="L645" s="75"/>
      <c r="M645" s="76">
        <v>8516.201171875</v>
      </c>
      <c r="N645" s="76">
        <v>2462.3291015625</v>
      </c>
      <c r="O645" s="77"/>
      <c r="P645" s="78"/>
      <c r="Q645" s="78"/>
      <c r="R645" s="82"/>
      <c r="S645" s="82"/>
      <c r="T645" s="82"/>
      <c r="U645" s="82"/>
      <c r="V645" s="52"/>
      <c r="W645" s="52"/>
      <c r="X645" s="52"/>
      <c r="Y645" s="52"/>
      <c r="Z645" s="51"/>
      <c r="AA645" s="73">
        <v>645</v>
      </c>
      <c r="AB645" s="73"/>
      <c r="AC645" s="74"/>
      <c r="AD645" s="80" t="s">
        <v>1877</v>
      </c>
      <c r="AE645" s="80"/>
      <c r="AF645" s="80" t="s">
        <v>3569</v>
      </c>
      <c r="AG645" s="80" t="s">
        <v>4300</v>
      </c>
      <c r="AH645" s="80" t="s">
        <v>5198</v>
      </c>
      <c r="AI645" s="80">
        <v>27180</v>
      </c>
      <c r="AJ645" s="80">
        <v>2</v>
      </c>
      <c r="AK645" s="80">
        <v>143</v>
      </c>
      <c r="AL645" s="80">
        <v>6</v>
      </c>
      <c r="AM645" s="80" t="s">
        <v>5614</v>
      </c>
      <c r="AN645" s="102" t="str">
        <f>HYPERLINK("https://www.youtube.com/watch?v=MirnhF328D4")</f>
        <v>https://www.youtube.com/watch?v=MirnhF328D4</v>
      </c>
      <c r="AO645" s="2"/>
      <c r="AP645" s="3"/>
      <c r="AQ645" s="3"/>
      <c r="AR645" s="3"/>
      <c r="AS645" s="3"/>
    </row>
    <row r="646" spans="1:45" ht="15">
      <c r="A646" s="66" t="s">
        <v>824</v>
      </c>
      <c r="B646" s="67"/>
      <c r="C646" s="67"/>
      <c r="D646" s="68"/>
      <c r="E646" s="70"/>
      <c r="F646" s="100" t="str">
        <f>HYPERLINK("https://i.ytimg.com/vi/mjir1eSJh-A/default.jpg")</f>
        <v>https://i.ytimg.com/vi/mjir1eSJh-A/default.jpg</v>
      </c>
      <c r="G646" s="67"/>
      <c r="H646" s="71"/>
      <c r="I646" s="72"/>
      <c r="J646" s="72"/>
      <c r="K646" s="71" t="s">
        <v>1878</v>
      </c>
      <c r="L646" s="75"/>
      <c r="M646" s="76">
        <v>8780.5068359375</v>
      </c>
      <c r="N646" s="76">
        <v>2933.233642578125</v>
      </c>
      <c r="O646" s="77"/>
      <c r="P646" s="78"/>
      <c r="Q646" s="78"/>
      <c r="R646" s="82"/>
      <c r="S646" s="82"/>
      <c r="T646" s="82"/>
      <c r="U646" s="82"/>
      <c r="V646" s="52"/>
      <c r="W646" s="52"/>
      <c r="X646" s="52"/>
      <c r="Y646" s="52"/>
      <c r="Z646" s="51"/>
      <c r="AA646" s="73">
        <v>646</v>
      </c>
      <c r="AB646" s="73"/>
      <c r="AC646" s="74"/>
      <c r="AD646" s="80" t="s">
        <v>1878</v>
      </c>
      <c r="AE646" s="80" t="s">
        <v>2824</v>
      </c>
      <c r="AF646" s="80" t="s">
        <v>3570</v>
      </c>
      <c r="AG646" s="80" t="s">
        <v>4301</v>
      </c>
      <c r="AH646" s="80" t="s">
        <v>5199</v>
      </c>
      <c r="AI646" s="80">
        <v>136788</v>
      </c>
      <c r="AJ646" s="80">
        <v>7</v>
      </c>
      <c r="AK646" s="80">
        <v>377</v>
      </c>
      <c r="AL646" s="80">
        <v>18</v>
      </c>
      <c r="AM646" s="80" t="s">
        <v>5614</v>
      </c>
      <c r="AN646" s="102" t="str">
        <f>HYPERLINK("https://www.youtube.com/watch?v=mjir1eSJh-A")</f>
        <v>https://www.youtube.com/watch?v=mjir1eSJh-A</v>
      </c>
      <c r="AO646" s="2"/>
      <c r="AP646" s="3"/>
      <c r="AQ646" s="3"/>
      <c r="AR646" s="3"/>
      <c r="AS646" s="3"/>
    </row>
    <row r="647" spans="1:45" ht="15">
      <c r="A647" s="66" t="s">
        <v>825</v>
      </c>
      <c r="B647" s="67"/>
      <c r="C647" s="67"/>
      <c r="D647" s="68"/>
      <c r="E647" s="70"/>
      <c r="F647" s="100" t="str">
        <f>HYPERLINK("https://i.ytimg.com/vi/69nQYIYOPLw/default.jpg")</f>
        <v>https://i.ytimg.com/vi/69nQYIYOPLw/default.jpg</v>
      </c>
      <c r="G647" s="67"/>
      <c r="H647" s="71"/>
      <c r="I647" s="72"/>
      <c r="J647" s="72"/>
      <c r="K647" s="71" t="s">
        <v>1879</v>
      </c>
      <c r="L647" s="75"/>
      <c r="M647" s="76">
        <v>8739.1875</v>
      </c>
      <c r="N647" s="76">
        <v>3313.51416015625</v>
      </c>
      <c r="O647" s="77"/>
      <c r="P647" s="78"/>
      <c r="Q647" s="78"/>
      <c r="R647" s="82"/>
      <c r="S647" s="82"/>
      <c r="T647" s="82"/>
      <c r="U647" s="82"/>
      <c r="V647" s="52"/>
      <c r="W647" s="52"/>
      <c r="X647" s="52"/>
      <c r="Y647" s="52"/>
      <c r="Z647" s="51"/>
      <c r="AA647" s="73">
        <v>647</v>
      </c>
      <c r="AB647" s="73"/>
      <c r="AC647" s="74"/>
      <c r="AD647" s="80" t="s">
        <v>1879</v>
      </c>
      <c r="AE647" s="80" t="s">
        <v>2825</v>
      </c>
      <c r="AF647" s="80" t="s">
        <v>3571</v>
      </c>
      <c r="AG647" s="80" t="s">
        <v>4302</v>
      </c>
      <c r="AH647" s="80" t="s">
        <v>5200</v>
      </c>
      <c r="AI647" s="80">
        <v>31579</v>
      </c>
      <c r="AJ647" s="80">
        <v>14</v>
      </c>
      <c r="AK647" s="80">
        <v>234</v>
      </c>
      <c r="AL647" s="80">
        <v>3</v>
      </c>
      <c r="AM647" s="80" t="s">
        <v>5614</v>
      </c>
      <c r="AN647" s="102" t="str">
        <f>HYPERLINK("https://www.youtube.com/watch?v=69nQYIYOPLw")</f>
        <v>https://www.youtube.com/watch?v=69nQYIYOPLw</v>
      </c>
      <c r="AO647" s="2"/>
      <c r="AP647" s="3"/>
      <c r="AQ647" s="3"/>
      <c r="AR647" s="3"/>
      <c r="AS647" s="3"/>
    </row>
    <row r="648" spans="1:45" ht="15">
      <c r="A648" s="66" t="s">
        <v>826</v>
      </c>
      <c r="B648" s="67"/>
      <c r="C648" s="67"/>
      <c r="D648" s="68"/>
      <c r="E648" s="70"/>
      <c r="F648" s="100" t="str">
        <f>HYPERLINK("https://i.ytimg.com/vi/u81oCK7rWNo/default.jpg")</f>
        <v>https://i.ytimg.com/vi/u81oCK7rWNo/default.jpg</v>
      </c>
      <c r="G648" s="67"/>
      <c r="H648" s="71"/>
      <c r="I648" s="72"/>
      <c r="J648" s="72"/>
      <c r="K648" s="71" t="s">
        <v>1880</v>
      </c>
      <c r="L648" s="75"/>
      <c r="M648" s="76">
        <v>8742.7060546875</v>
      </c>
      <c r="N648" s="76">
        <v>3120.47021484375</v>
      </c>
      <c r="O648" s="77"/>
      <c r="P648" s="78"/>
      <c r="Q648" s="78"/>
      <c r="R648" s="82"/>
      <c r="S648" s="82"/>
      <c r="T648" s="82"/>
      <c r="U648" s="82"/>
      <c r="V648" s="52"/>
      <c r="W648" s="52"/>
      <c r="X648" s="52"/>
      <c r="Y648" s="52"/>
      <c r="Z648" s="51"/>
      <c r="AA648" s="73">
        <v>648</v>
      </c>
      <c r="AB648" s="73"/>
      <c r="AC648" s="74"/>
      <c r="AD648" s="80" t="s">
        <v>1880</v>
      </c>
      <c r="AE648" s="80" t="s">
        <v>2826</v>
      </c>
      <c r="AF648" s="80"/>
      <c r="AG648" s="80" t="s">
        <v>4303</v>
      </c>
      <c r="AH648" s="80" t="s">
        <v>5201</v>
      </c>
      <c r="AI648" s="80">
        <v>61421</v>
      </c>
      <c r="AJ648" s="80">
        <v>0</v>
      </c>
      <c r="AK648" s="80">
        <v>0</v>
      </c>
      <c r="AL648" s="80">
        <v>0</v>
      </c>
      <c r="AM648" s="80" t="s">
        <v>5614</v>
      </c>
      <c r="AN648" s="102" t="str">
        <f>HYPERLINK("https://www.youtube.com/watch?v=u81oCK7rWNo")</f>
        <v>https://www.youtube.com/watch?v=u81oCK7rWNo</v>
      </c>
      <c r="AO648" s="2"/>
      <c r="AP648" s="3"/>
      <c r="AQ648" s="3"/>
      <c r="AR648" s="3"/>
      <c r="AS648" s="3"/>
    </row>
    <row r="649" spans="1:45" ht="15">
      <c r="A649" s="66" t="s">
        <v>827</v>
      </c>
      <c r="B649" s="67"/>
      <c r="C649" s="67"/>
      <c r="D649" s="68"/>
      <c r="E649" s="70"/>
      <c r="F649" s="100" t="str">
        <f>HYPERLINK("https://i.ytimg.com/vi/4NVLq4YJ278/default.jpg")</f>
        <v>https://i.ytimg.com/vi/4NVLq4YJ278/default.jpg</v>
      </c>
      <c r="G649" s="67"/>
      <c r="H649" s="71"/>
      <c r="I649" s="72"/>
      <c r="J649" s="72"/>
      <c r="K649" s="71" t="s">
        <v>1881</v>
      </c>
      <c r="L649" s="75"/>
      <c r="M649" s="76">
        <v>8752.79296875</v>
      </c>
      <c r="N649" s="76">
        <v>3257.885498046875</v>
      </c>
      <c r="O649" s="77"/>
      <c r="P649" s="78"/>
      <c r="Q649" s="78"/>
      <c r="R649" s="82"/>
      <c r="S649" s="82"/>
      <c r="T649" s="82"/>
      <c r="U649" s="82"/>
      <c r="V649" s="52"/>
      <c r="W649" s="52"/>
      <c r="X649" s="52"/>
      <c r="Y649" s="52"/>
      <c r="Z649" s="51"/>
      <c r="AA649" s="73">
        <v>649</v>
      </c>
      <c r="AB649" s="73"/>
      <c r="AC649" s="74"/>
      <c r="AD649" s="80" t="s">
        <v>1881</v>
      </c>
      <c r="AE649" s="80" t="s">
        <v>2827</v>
      </c>
      <c r="AF649" s="80"/>
      <c r="AG649" s="80" t="s">
        <v>4065</v>
      </c>
      <c r="AH649" s="80" t="s">
        <v>5202</v>
      </c>
      <c r="AI649" s="80">
        <v>11</v>
      </c>
      <c r="AJ649" s="80">
        <v>0</v>
      </c>
      <c r="AK649" s="80">
        <v>1</v>
      </c>
      <c r="AL649" s="80">
        <v>0</v>
      </c>
      <c r="AM649" s="80" t="s">
        <v>5614</v>
      </c>
      <c r="AN649" s="102" t="str">
        <f>HYPERLINK("https://www.youtube.com/watch?v=4NVLq4YJ278")</f>
        <v>https://www.youtube.com/watch?v=4NVLq4YJ278</v>
      </c>
      <c r="AO649" s="2"/>
      <c r="AP649" s="3"/>
      <c r="AQ649" s="3"/>
      <c r="AR649" s="3"/>
      <c r="AS649" s="3"/>
    </row>
    <row r="650" spans="1:45" ht="15">
      <c r="A650" s="66" t="s">
        <v>828</v>
      </c>
      <c r="B650" s="67"/>
      <c r="C650" s="67"/>
      <c r="D650" s="68"/>
      <c r="E650" s="70"/>
      <c r="F650" s="100" t="str">
        <f>HYPERLINK("https://i.ytimg.com/vi/oVvF6puUv0w/default.jpg")</f>
        <v>https://i.ytimg.com/vi/oVvF6puUv0w/default.jpg</v>
      </c>
      <c r="G650" s="67"/>
      <c r="H650" s="71"/>
      <c r="I650" s="72"/>
      <c r="J650" s="72"/>
      <c r="K650" s="71" t="s">
        <v>1882</v>
      </c>
      <c r="L650" s="75"/>
      <c r="M650" s="76">
        <v>8325.521484375</v>
      </c>
      <c r="N650" s="76">
        <v>2150.2900390625</v>
      </c>
      <c r="O650" s="77"/>
      <c r="P650" s="78"/>
      <c r="Q650" s="78"/>
      <c r="R650" s="82"/>
      <c r="S650" s="82"/>
      <c r="T650" s="82"/>
      <c r="U650" s="82"/>
      <c r="V650" s="52"/>
      <c r="W650" s="52"/>
      <c r="X650" s="52"/>
      <c r="Y650" s="52"/>
      <c r="Z650" s="51"/>
      <c r="AA650" s="73">
        <v>650</v>
      </c>
      <c r="AB650" s="73"/>
      <c r="AC650" s="74"/>
      <c r="AD650" s="80" t="s">
        <v>1882</v>
      </c>
      <c r="AE650" s="80" t="s">
        <v>2828</v>
      </c>
      <c r="AF650" s="80"/>
      <c r="AG650" s="80" t="s">
        <v>4065</v>
      </c>
      <c r="AH650" s="80" t="s">
        <v>5203</v>
      </c>
      <c r="AI650" s="80">
        <v>9</v>
      </c>
      <c r="AJ650" s="80">
        <v>0</v>
      </c>
      <c r="AK650" s="80">
        <v>1</v>
      </c>
      <c r="AL650" s="80">
        <v>0</v>
      </c>
      <c r="AM650" s="80" t="s">
        <v>5614</v>
      </c>
      <c r="AN650" s="102" t="str">
        <f>HYPERLINK("https://www.youtube.com/watch?v=oVvF6puUv0w")</f>
        <v>https://www.youtube.com/watch?v=oVvF6puUv0w</v>
      </c>
      <c r="AO650" s="2"/>
      <c r="AP650" s="3"/>
      <c r="AQ650" s="3"/>
      <c r="AR650" s="3"/>
      <c r="AS650" s="3"/>
    </row>
    <row r="651" spans="1:45" ht="15">
      <c r="A651" s="66" t="s">
        <v>829</v>
      </c>
      <c r="B651" s="67"/>
      <c r="C651" s="67"/>
      <c r="D651" s="68"/>
      <c r="E651" s="70"/>
      <c r="F651" s="100" t="str">
        <f>HYPERLINK("https://i.ytimg.com/vi/3JmTqay0vz0/default.jpg")</f>
        <v>https://i.ytimg.com/vi/3JmTqay0vz0/default.jpg</v>
      </c>
      <c r="G651" s="67"/>
      <c r="H651" s="71"/>
      <c r="I651" s="72"/>
      <c r="J651" s="72"/>
      <c r="K651" s="71" t="s">
        <v>1883</v>
      </c>
      <c r="L651" s="75"/>
      <c r="M651" s="76">
        <v>8704.79296875</v>
      </c>
      <c r="N651" s="76">
        <v>2786.45849609375</v>
      </c>
      <c r="O651" s="77"/>
      <c r="P651" s="78"/>
      <c r="Q651" s="78"/>
      <c r="R651" s="82"/>
      <c r="S651" s="82"/>
      <c r="T651" s="82"/>
      <c r="U651" s="82"/>
      <c r="V651" s="52"/>
      <c r="W651" s="52"/>
      <c r="X651" s="52"/>
      <c r="Y651" s="52"/>
      <c r="Z651" s="51"/>
      <c r="AA651" s="73">
        <v>651</v>
      </c>
      <c r="AB651" s="73"/>
      <c r="AC651" s="74"/>
      <c r="AD651" s="80" t="s">
        <v>1883</v>
      </c>
      <c r="AE651" s="80" t="s">
        <v>2829</v>
      </c>
      <c r="AF651" s="80"/>
      <c r="AG651" s="80" t="s">
        <v>4304</v>
      </c>
      <c r="AH651" s="80" t="s">
        <v>5204</v>
      </c>
      <c r="AI651" s="80">
        <v>51362</v>
      </c>
      <c r="AJ651" s="80">
        <v>109</v>
      </c>
      <c r="AK651" s="80">
        <v>997</v>
      </c>
      <c r="AL651" s="80">
        <v>77</v>
      </c>
      <c r="AM651" s="80" t="s">
        <v>5614</v>
      </c>
      <c r="AN651" s="102" t="str">
        <f>HYPERLINK("https://www.youtube.com/watch?v=3JmTqay0vz0")</f>
        <v>https://www.youtube.com/watch?v=3JmTqay0vz0</v>
      </c>
      <c r="AO651" s="2"/>
      <c r="AP651" s="3"/>
      <c r="AQ651" s="3"/>
      <c r="AR651" s="3"/>
      <c r="AS651" s="3"/>
    </row>
    <row r="652" spans="1:45" ht="15">
      <c r="A652" s="66" t="s">
        <v>830</v>
      </c>
      <c r="B652" s="67"/>
      <c r="C652" s="67"/>
      <c r="D652" s="68"/>
      <c r="E652" s="70"/>
      <c r="F652" s="100" t="str">
        <f>HYPERLINK("https://i.ytimg.com/vi/14UdiF4slpU/default.jpg")</f>
        <v>https://i.ytimg.com/vi/14UdiF4slpU/default.jpg</v>
      </c>
      <c r="G652" s="67"/>
      <c r="H652" s="71"/>
      <c r="I652" s="72"/>
      <c r="J652" s="72"/>
      <c r="K652" s="71" t="s">
        <v>1884</v>
      </c>
      <c r="L652" s="75"/>
      <c r="M652" s="76">
        <v>8821.8212890625</v>
      </c>
      <c r="N652" s="76">
        <v>3501.122314453125</v>
      </c>
      <c r="O652" s="77"/>
      <c r="P652" s="78"/>
      <c r="Q652" s="78"/>
      <c r="R652" s="82"/>
      <c r="S652" s="82"/>
      <c r="T652" s="82"/>
      <c r="U652" s="82"/>
      <c r="V652" s="52"/>
      <c r="W652" s="52"/>
      <c r="X652" s="52"/>
      <c r="Y652" s="52"/>
      <c r="Z652" s="51"/>
      <c r="AA652" s="73">
        <v>652</v>
      </c>
      <c r="AB652" s="73"/>
      <c r="AC652" s="74"/>
      <c r="AD652" s="80" t="s">
        <v>1884</v>
      </c>
      <c r="AE652" s="80" t="s">
        <v>2830</v>
      </c>
      <c r="AF652" s="80" t="s">
        <v>3572</v>
      </c>
      <c r="AG652" s="80" t="s">
        <v>4305</v>
      </c>
      <c r="AH652" s="80" t="s">
        <v>5205</v>
      </c>
      <c r="AI652" s="80">
        <v>467864</v>
      </c>
      <c r="AJ652" s="80">
        <v>167</v>
      </c>
      <c r="AK652" s="80">
        <v>2895</v>
      </c>
      <c r="AL652" s="80">
        <v>133</v>
      </c>
      <c r="AM652" s="80" t="s">
        <v>5614</v>
      </c>
      <c r="AN652" s="102" t="str">
        <f>HYPERLINK("https://www.youtube.com/watch?v=14UdiF4slpU")</f>
        <v>https://www.youtube.com/watch?v=14UdiF4slpU</v>
      </c>
      <c r="AO652" s="2"/>
      <c r="AP652" s="3"/>
      <c r="AQ652" s="3"/>
      <c r="AR652" s="3"/>
      <c r="AS652" s="3"/>
    </row>
    <row r="653" spans="1:45" ht="15">
      <c r="A653" s="66" t="s">
        <v>831</v>
      </c>
      <c r="B653" s="67"/>
      <c r="C653" s="67"/>
      <c r="D653" s="68"/>
      <c r="E653" s="70"/>
      <c r="F653" s="100" t="str">
        <f>HYPERLINK("https://i.ytimg.com/vi/OrLM7awX5Ls/default.jpg")</f>
        <v>https://i.ytimg.com/vi/OrLM7awX5Ls/default.jpg</v>
      </c>
      <c r="G653" s="67"/>
      <c r="H653" s="71"/>
      <c r="I653" s="72"/>
      <c r="J653" s="72"/>
      <c r="K653" s="71" t="s">
        <v>1885</v>
      </c>
      <c r="L653" s="75"/>
      <c r="M653" s="76">
        <v>8656.30859375</v>
      </c>
      <c r="N653" s="76">
        <v>2699.82861328125</v>
      </c>
      <c r="O653" s="77"/>
      <c r="P653" s="78"/>
      <c r="Q653" s="78"/>
      <c r="R653" s="82"/>
      <c r="S653" s="82"/>
      <c r="T653" s="82"/>
      <c r="U653" s="82"/>
      <c r="V653" s="52"/>
      <c r="W653" s="52"/>
      <c r="X653" s="52"/>
      <c r="Y653" s="52"/>
      <c r="Z653" s="51"/>
      <c r="AA653" s="73">
        <v>653</v>
      </c>
      <c r="AB653" s="73"/>
      <c r="AC653" s="74"/>
      <c r="AD653" s="80" t="s">
        <v>1885</v>
      </c>
      <c r="AE653" s="80" t="s">
        <v>2831</v>
      </c>
      <c r="AF653" s="80" t="s">
        <v>3573</v>
      </c>
      <c r="AG653" s="80" t="s">
        <v>4306</v>
      </c>
      <c r="AH653" s="80" t="s">
        <v>5206</v>
      </c>
      <c r="AI653" s="80">
        <v>490572</v>
      </c>
      <c r="AJ653" s="80">
        <v>410</v>
      </c>
      <c r="AK653" s="80">
        <v>4317</v>
      </c>
      <c r="AL653" s="80">
        <v>338</v>
      </c>
      <c r="AM653" s="80" t="s">
        <v>5614</v>
      </c>
      <c r="AN653" s="102" t="str">
        <f>HYPERLINK("https://www.youtube.com/watch?v=OrLM7awX5Ls")</f>
        <v>https://www.youtube.com/watch?v=OrLM7awX5Ls</v>
      </c>
      <c r="AO653" s="2"/>
      <c r="AP653" s="3"/>
      <c r="AQ653" s="3"/>
      <c r="AR653" s="3"/>
      <c r="AS653" s="3"/>
    </row>
    <row r="654" spans="1:45" ht="15">
      <c r="A654" s="66" t="s">
        <v>832</v>
      </c>
      <c r="B654" s="67"/>
      <c r="C654" s="67"/>
      <c r="D654" s="68"/>
      <c r="E654" s="70"/>
      <c r="F654" s="100" t="str">
        <f>HYPERLINK("https://i.ytimg.com/vi/L8UJQ20Q2N4/default.jpg")</f>
        <v>https://i.ytimg.com/vi/L8UJQ20Q2N4/default.jpg</v>
      </c>
      <c r="G654" s="67"/>
      <c r="H654" s="71"/>
      <c r="I654" s="72"/>
      <c r="J654" s="72"/>
      <c r="K654" s="71" t="s">
        <v>1886</v>
      </c>
      <c r="L654" s="75"/>
      <c r="M654" s="76">
        <v>8494.384765625</v>
      </c>
      <c r="N654" s="76">
        <v>2442.027587890625</v>
      </c>
      <c r="O654" s="77"/>
      <c r="P654" s="78"/>
      <c r="Q654" s="78"/>
      <c r="R654" s="82"/>
      <c r="S654" s="82"/>
      <c r="T654" s="82"/>
      <c r="U654" s="82"/>
      <c r="V654" s="52"/>
      <c r="W654" s="52"/>
      <c r="X654" s="52"/>
      <c r="Y654" s="52"/>
      <c r="Z654" s="51"/>
      <c r="AA654" s="73">
        <v>654</v>
      </c>
      <c r="AB654" s="73"/>
      <c r="AC654" s="74"/>
      <c r="AD654" s="80" t="s">
        <v>1886</v>
      </c>
      <c r="AE654" s="80" t="s">
        <v>2832</v>
      </c>
      <c r="AF654" s="80"/>
      <c r="AG654" s="80" t="s">
        <v>4065</v>
      </c>
      <c r="AH654" s="80" t="s">
        <v>5207</v>
      </c>
      <c r="AI654" s="80">
        <v>413</v>
      </c>
      <c r="AJ654" s="80">
        <v>0</v>
      </c>
      <c r="AK654" s="80">
        <v>22</v>
      </c>
      <c r="AL654" s="80">
        <v>0</v>
      </c>
      <c r="AM654" s="80" t="s">
        <v>5614</v>
      </c>
      <c r="AN654" s="102" t="str">
        <f>HYPERLINK("https://www.youtube.com/watch?v=L8UJQ20Q2N4")</f>
        <v>https://www.youtube.com/watch?v=L8UJQ20Q2N4</v>
      </c>
      <c r="AO654" s="2"/>
      <c r="AP654" s="3"/>
      <c r="AQ654" s="3"/>
      <c r="AR654" s="3"/>
      <c r="AS654" s="3"/>
    </row>
    <row r="655" spans="1:45" ht="15">
      <c r="A655" s="66" t="s">
        <v>833</v>
      </c>
      <c r="B655" s="67"/>
      <c r="C655" s="67"/>
      <c r="D655" s="68"/>
      <c r="E655" s="70"/>
      <c r="F655" s="100" t="str">
        <f>HYPERLINK("https://i.ytimg.com/vi/FngI0OaDfq4/default.jpg")</f>
        <v>https://i.ytimg.com/vi/FngI0OaDfq4/default.jpg</v>
      </c>
      <c r="G655" s="67"/>
      <c r="H655" s="71"/>
      <c r="I655" s="72"/>
      <c r="J655" s="72"/>
      <c r="K655" s="71" t="s">
        <v>1887</v>
      </c>
      <c r="L655" s="75"/>
      <c r="M655" s="76">
        <v>8394.0390625</v>
      </c>
      <c r="N655" s="76">
        <v>2313.919189453125</v>
      </c>
      <c r="O655" s="77"/>
      <c r="P655" s="78"/>
      <c r="Q655" s="78"/>
      <c r="R655" s="82"/>
      <c r="S655" s="82"/>
      <c r="T655" s="82"/>
      <c r="U655" s="82"/>
      <c r="V655" s="52"/>
      <c r="W655" s="52"/>
      <c r="X655" s="52"/>
      <c r="Y655" s="52"/>
      <c r="Z655" s="51"/>
      <c r="AA655" s="73">
        <v>655</v>
      </c>
      <c r="AB655" s="73"/>
      <c r="AC655" s="74"/>
      <c r="AD655" s="80" t="s">
        <v>1887</v>
      </c>
      <c r="AE655" s="80" t="s">
        <v>2833</v>
      </c>
      <c r="AF655" s="80" t="s">
        <v>3574</v>
      </c>
      <c r="AG655" s="80" t="s">
        <v>4307</v>
      </c>
      <c r="AH655" s="80" t="s">
        <v>5208</v>
      </c>
      <c r="AI655" s="80">
        <v>439538</v>
      </c>
      <c r="AJ655" s="80">
        <v>136</v>
      </c>
      <c r="AK655" s="80">
        <v>7111</v>
      </c>
      <c r="AL655" s="80">
        <v>262</v>
      </c>
      <c r="AM655" s="80" t="s">
        <v>5614</v>
      </c>
      <c r="AN655" s="102" t="str">
        <f>HYPERLINK("https://www.youtube.com/watch?v=FngI0OaDfq4")</f>
        <v>https://www.youtube.com/watch?v=FngI0OaDfq4</v>
      </c>
      <c r="AO655" s="2"/>
      <c r="AP655" s="3"/>
      <c r="AQ655" s="3"/>
      <c r="AR655" s="3"/>
      <c r="AS655" s="3"/>
    </row>
    <row r="656" spans="1:45" ht="15">
      <c r="A656" s="66" t="s">
        <v>834</v>
      </c>
      <c r="B656" s="67"/>
      <c r="C656" s="67"/>
      <c r="D656" s="68"/>
      <c r="E656" s="70"/>
      <c r="F656" s="100" t="str">
        <f>HYPERLINK("https://i.ytimg.com/vi/NOvqWOIq8vM/default.jpg")</f>
        <v>https://i.ytimg.com/vi/NOvqWOIq8vM/default.jpg</v>
      </c>
      <c r="G656" s="67"/>
      <c r="H656" s="71"/>
      <c r="I656" s="72"/>
      <c r="J656" s="72"/>
      <c r="K656" s="71" t="s">
        <v>1888</v>
      </c>
      <c r="L656" s="75"/>
      <c r="M656" s="76">
        <v>8809.6748046875</v>
      </c>
      <c r="N656" s="76">
        <v>3569.531982421875</v>
      </c>
      <c r="O656" s="77"/>
      <c r="P656" s="78"/>
      <c r="Q656" s="78"/>
      <c r="R656" s="82"/>
      <c r="S656" s="82"/>
      <c r="T656" s="82"/>
      <c r="U656" s="82"/>
      <c r="V656" s="52"/>
      <c r="W656" s="52"/>
      <c r="X656" s="52"/>
      <c r="Y656" s="52"/>
      <c r="Z656" s="51"/>
      <c r="AA656" s="73">
        <v>656</v>
      </c>
      <c r="AB656" s="73"/>
      <c r="AC656" s="74"/>
      <c r="AD656" s="80" t="s">
        <v>1888</v>
      </c>
      <c r="AE656" s="80" t="s">
        <v>2834</v>
      </c>
      <c r="AF656" s="80" t="s">
        <v>3575</v>
      </c>
      <c r="AG656" s="80" t="s">
        <v>4017</v>
      </c>
      <c r="AH656" s="80" t="s">
        <v>5209</v>
      </c>
      <c r="AI656" s="80">
        <v>420451</v>
      </c>
      <c r="AJ656" s="80">
        <v>40</v>
      </c>
      <c r="AK656" s="80">
        <v>3635</v>
      </c>
      <c r="AL656" s="80">
        <v>144</v>
      </c>
      <c r="AM656" s="80" t="s">
        <v>5614</v>
      </c>
      <c r="AN656" s="102" t="str">
        <f>HYPERLINK("https://www.youtube.com/watch?v=NOvqWOIq8vM")</f>
        <v>https://www.youtube.com/watch?v=NOvqWOIq8vM</v>
      </c>
      <c r="AO656" s="2"/>
      <c r="AP656" s="3"/>
      <c r="AQ656" s="3"/>
      <c r="AR656" s="3"/>
      <c r="AS656" s="3"/>
    </row>
    <row r="657" spans="1:45" ht="15">
      <c r="A657" s="66" t="s">
        <v>835</v>
      </c>
      <c r="B657" s="67"/>
      <c r="C657" s="67"/>
      <c r="D657" s="68"/>
      <c r="E657" s="70"/>
      <c r="F657" s="100" t="str">
        <f>HYPERLINK("https://i.ytimg.com/vi/wTt3VmgFLmA/default.jpg")</f>
        <v>https://i.ytimg.com/vi/wTt3VmgFLmA/default.jpg</v>
      </c>
      <c r="G657" s="67"/>
      <c r="H657" s="71"/>
      <c r="I657" s="72"/>
      <c r="J657" s="72"/>
      <c r="K657" s="71" t="s">
        <v>1889</v>
      </c>
      <c r="L657" s="75"/>
      <c r="M657" s="76">
        <v>8691.8330078125</v>
      </c>
      <c r="N657" s="76">
        <v>2996.840576171875</v>
      </c>
      <c r="O657" s="77"/>
      <c r="P657" s="78"/>
      <c r="Q657" s="78"/>
      <c r="R657" s="82"/>
      <c r="S657" s="82"/>
      <c r="T657" s="82"/>
      <c r="U657" s="82"/>
      <c r="V657" s="52"/>
      <c r="W657" s="52"/>
      <c r="X657" s="52"/>
      <c r="Y657" s="52"/>
      <c r="Z657" s="51"/>
      <c r="AA657" s="73">
        <v>657</v>
      </c>
      <c r="AB657" s="73"/>
      <c r="AC657" s="74"/>
      <c r="AD657" s="80" t="s">
        <v>1889</v>
      </c>
      <c r="AE657" s="80" t="s">
        <v>2835</v>
      </c>
      <c r="AF657" s="80" t="s">
        <v>3576</v>
      </c>
      <c r="AG657" s="80" t="s">
        <v>4308</v>
      </c>
      <c r="AH657" s="80" t="s">
        <v>5210</v>
      </c>
      <c r="AI657" s="80">
        <v>62914</v>
      </c>
      <c r="AJ657" s="80">
        <v>16</v>
      </c>
      <c r="AK657" s="80">
        <v>195</v>
      </c>
      <c r="AL657" s="80">
        <v>11</v>
      </c>
      <c r="AM657" s="80" t="s">
        <v>5614</v>
      </c>
      <c r="AN657" s="102" t="str">
        <f>HYPERLINK("https://www.youtube.com/watch?v=wTt3VmgFLmA")</f>
        <v>https://www.youtube.com/watch?v=wTt3VmgFLmA</v>
      </c>
      <c r="AO657" s="2"/>
      <c r="AP657" s="3"/>
      <c r="AQ657" s="3"/>
      <c r="AR657" s="3"/>
      <c r="AS657" s="3"/>
    </row>
    <row r="658" spans="1:45" ht="15">
      <c r="A658" s="66" t="s">
        <v>836</v>
      </c>
      <c r="B658" s="67"/>
      <c r="C658" s="67"/>
      <c r="D658" s="68"/>
      <c r="E658" s="70"/>
      <c r="F658" s="100" t="str">
        <f>HYPERLINK("https://i.ytimg.com/vi/YvNnokjFTbg/default.jpg")</f>
        <v>https://i.ytimg.com/vi/YvNnokjFTbg/default.jpg</v>
      </c>
      <c r="G658" s="67"/>
      <c r="H658" s="71"/>
      <c r="I658" s="72"/>
      <c r="J658" s="72"/>
      <c r="K658" s="71" t="s">
        <v>1890</v>
      </c>
      <c r="L658" s="75"/>
      <c r="M658" s="76">
        <v>8876.990234375</v>
      </c>
      <c r="N658" s="76">
        <v>3369.8818359375</v>
      </c>
      <c r="O658" s="77"/>
      <c r="P658" s="78"/>
      <c r="Q658" s="78"/>
      <c r="R658" s="82"/>
      <c r="S658" s="82"/>
      <c r="T658" s="82"/>
      <c r="U658" s="82"/>
      <c r="V658" s="52"/>
      <c r="W658" s="52"/>
      <c r="X658" s="52"/>
      <c r="Y658" s="52"/>
      <c r="Z658" s="51"/>
      <c r="AA658" s="73">
        <v>658</v>
      </c>
      <c r="AB658" s="73"/>
      <c r="AC658" s="74"/>
      <c r="AD658" s="80" t="s">
        <v>1890</v>
      </c>
      <c r="AE658" s="80" t="s">
        <v>2836</v>
      </c>
      <c r="AF658" s="80" t="s">
        <v>3577</v>
      </c>
      <c r="AG658" s="80" t="s">
        <v>4309</v>
      </c>
      <c r="AH658" s="80" t="s">
        <v>5211</v>
      </c>
      <c r="AI658" s="80">
        <v>121128</v>
      </c>
      <c r="AJ658" s="80">
        <v>0</v>
      </c>
      <c r="AK658" s="80">
        <v>1099</v>
      </c>
      <c r="AL658" s="80">
        <v>72</v>
      </c>
      <c r="AM658" s="80" t="s">
        <v>5614</v>
      </c>
      <c r="AN658" s="102" t="str">
        <f>HYPERLINK("https://www.youtube.com/watch?v=YvNnokjFTbg")</f>
        <v>https://www.youtube.com/watch?v=YvNnokjFTbg</v>
      </c>
      <c r="AO658" s="2"/>
      <c r="AP658" s="3"/>
      <c r="AQ658" s="3"/>
      <c r="AR658" s="3"/>
      <c r="AS658" s="3"/>
    </row>
    <row r="659" spans="1:45" ht="15">
      <c r="A659" s="66" t="s">
        <v>837</v>
      </c>
      <c r="B659" s="67"/>
      <c r="C659" s="67"/>
      <c r="D659" s="68"/>
      <c r="E659" s="70"/>
      <c r="F659" s="100" t="str">
        <f>HYPERLINK("https://i.ytimg.com/vi/A9FieuHyYDY/default.jpg")</f>
        <v>https://i.ytimg.com/vi/A9FieuHyYDY/default.jpg</v>
      </c>
      <c r="G659" s="67"/>
      <c r="H659" s="71"/>
      <c r="I659" s="72"/>
      <c r="J659" s="72"/>
      <c r="K659" s="71" t="s">
        <v>1891</v>
      </c>
      <c r="L659" s="75"/>
      <c r="M659" s="76">
        <v>8725.1298828125</v>
      </c>
      <c r="N659" s="76">
        <v>2845.500732421875</v>
      </c>
      <c r="O659" s="77"/>
      <c r="P659" s="78"/>
      <c r="Q659" s="78"/>
      <c r="R659" s="82"/>
      <c r="S659" s="82"/>
      <c r="T659" s="82"/>
      <c r="U659" s="82"/>
      <c r="V659" s="52"/>
      <c r="W659" s="52"/>
      <c r="X659" s="52"/>
      <c r="Y659" s="52"/>
      <c r="Z659" s="51"/>
      <c r="AA659" s="73">
        <v>659</v>
      </c>
      <c r="AB659" s="73"/>
      <c r="AC659" s="74"/>
      <c r="AD659" s="80" t="s">
        <v>1891</v>
      </c>
      <c r="AE659" s="80" t="s">
        <v>2837</v>
      </c>
      <c r="AF659" s="80"/>
      <c r="AG659" s="80" t="s">
        <v>4065</v>
      </c>
      <c r="AH659" s="80" t="s">
        <v>5212</v>
      </c>
      <c r="AI659" s="80">
        <v>2597</v>
      </c>
      <c r="AJ659" s="80">
        <v>0</v>
      </c>
      <c r="AK659" s="80">
        <v>25</v>
      </c>
      <c r="AL659" s="80">
        <v>0</v>
      </c>
      <c r="AM659" s="80" t="s">
        <v>5614</v>
      </c>
      <c r="AN659" s="102" t="str">
        <f>HYPERLINK("https://www.youtube.com/watch?v=A9FieuHyYDY")</f>
        <v>https://www.youtube.com/watch?v=A9FieuHyYDY</v>
      </c>
      <c r="AO659" s="2"/>
      <c r="AP659" s="3"/>
      <c r="AQ659" s="3"/>
      <c r="AR659" s="3"/>
      <c r="AS659" s="3"/>
    </row>
    <row r="660" spans="1:45" ht="15">
      <c r="A660" s="66" t="s">
        <v>838</v>
      </c>
      <c r="B660" s="67"/>
      <c r="C660" s="67"/>
      <c r="D660" s="68"/>
      <c r="E660" s="70"/>
      <c r="F660" s="100" t="str">
        <f>HYPERLINK("https://i.ytimg.com/vi/XCaH4ya5jxE/default.jpg")</f>
        <v>https://i.ytimg.com/vi/XCaH4ya5jxE/default.jpg</v>
      </c>
      <c r="G660" s="67"/>
      <c r="H660" s="71"/>
      <c r="I660" s="72"/>
      <c r="J660" s="72"/>
      <c r="K660" s="71" t="s">
        <v>1892</v>
      </c>
      <c r="L660" s="75"/>
      <c r="M660" s="76">
        <v>8873.1083984375</v>
      </c>
      <c r="N660" s="76">
        <v>3165.532958984375</v>
      </c>
      <c r="O660" s="77"/>
      <c r="P660" s="78"/>
      <c r="Q660" s="78"/>
      <c r="R660" s="82"/>
      <c r="S660" s="82"/>
      <c r="T660" s="82"/>
      <c r="U660" s="82"/>
      <c r="V660" s="52"/>
      <c r="W660" s="52"/>
      <c r="X660" s="52"/>
      <c r="Y660" s="52"/>
      <c r="Z660" s="51"/>
      <c r="AA660" s="73">
        <v>660</v>
      </c>
      <c r="AB660" s="73"/>
      <c r="AC660" s="74"/>
      <c r="AD660" s="80" t="s">
        <v>1892</v>
      </c>
      <c r="AE660" s="80" t="s">
        <v>2838</v>
      </c>
      <c r="AF660" s="80" t="s">
        <v>3578</v>
      </c>
      <c r="AG660" s="80" t="s">
        <v>4310</v>
      </c>
      <c r="AH660" s="80" t="s">
        <v>5213</v>
      </c>
      <c r="AI660" s="80">
        <v>1324565</v>
      </c>
      <c r="AJ660" s="80">
        <v>0</v>
      </c>
      <c r="AK660" s="80">
        <v>2736</v>
      </c>
      <c r="AL660" s="80">
        <v>466</v>
      </c>
      <c r="AM660" s="80" t="s">
        <v>5614</v>
      </c>
      <c r="AN660" s="102" t="str">
        <f>HYPERLINK("https://www.youtube.com/watch?v=XCaH4ya5jxE")</f>
        <v>https://www.youtube.com/watch?v=XCaH4ya5jxE</v>
      </c>
      <c r="AO660" s="2"/>
      <c r="AP660" s="3"/>
      <c r="AQ660" s="3"/>
      <c r="AR660" s="3"/>
      <c r="AS660" s="3"/>
    </row>
    <row r="661" spans="1:45" ht="15">
      <c r="A661" s="66" t="s">
        <v>839</v>
      </c>
      <c r="B661" s="67"/>
      <c r="C661" s="67"/>
      <c r="D661" s="68"/>
      <c r="E661" s="70"/>
      <c r="F661" s="100" t="str">
        <f>HYPERLINK("https://i.ytimg.com/vi/xw-2CI7nW0g/default.jpg")</f>
        <v>https://i.ytimg.com/vi/xw-2CI7nW0g/default.jpg</v>
      </c>
      <c r="G661" s="67"/>
      <c r="H661" s="71"/>
      <c r="I661" s="72"/>
      <c r="J661" s="72"/>
      <c r="K661" s="71" t="s">
        <v>1893</v>
      </c>
      <c r="L661" s="75"/>
      <c r="M661" s="76">
        <v>8695.0830078125</v>
      </c>
      <c r="N661" s="76">
        <v>3024.178466796875</v>
      </c>
      <c r="O661" s="77"/>
      <c r="P661" s="78"/>
      <c r="Q661" s="78"/>
      <c r="R661" s="82"/>
      <c r="S661" s="82"/>
      <c r="T661" s="82"/>
      <c r="U661" s="82"/>
      <c r="V661" s="52"/>
      <c r="W661" s="52"/>
      <c r="X661" s="52"/>
      <c r="Y661" s="52"/>
      <c r="Z661" s="51"/>
      <c r="AA661" s="73">
        <v>661</v>
      </c>
      <c r="AB661" s="73"/>
      <c r="AC661" s="74"/>
      <c r="AD661" s="80" t="s">
        <v>1893</v>
      </c>
      <c r="AE661" s="80" t="s">
        <v>2839</v>
      </c>
      <c r="AF661" s="80" t="s">
        <v>3579</v>
      </c>
      <c r="AG661" s="80" t="s">
        <v>4311</v>
      </c>
      <c r="AH661" s="80" t="s">
        <v>5214</v>
      </c>
      <c r="AI661" s="80">
        <v>584494</v>
      </c>
      <c r="AJ661" s="80">
        <v>87</v>
      </c>
      <c r="AK661" s="80">
        <v>915</v>
      </c>
      <c r="AL661" s="80">
        <v>94</v>
      </c>
      <c r="AM661" s="80" t="s">
        <v>5614</v>
      </c>
      <c r="AN661" s="102" t="str">
        <f>HYPERLINK("https://www.youtube.com/watch?v=xw-2CI7nW0g")</f>
        <v>https://www.youtube.com/watch?v=xw-2CI7nW0g</v>
      </c>
      <c r="AO661" s="2"/>
      <c r="AP661" s="3"/>
      <c r="AQ661" s="3"/>
      <c r="AR661" s="3"/>
      <c r="AS661" s="3"/>
    </row>
    <row r="662" spans="1:45" ht="15">
      <c r="A662" s="66" t="s">
        <v>210</v>
      </c>
      <c r="B662" s="67"/>
      <c r="C662" s="67"/>
      <c r="D662" s="68"/>
      <c r="E662" s="70"/>
      <c r="F662" s="100" t="str">
        <f>HYPERLINK("https://i.ytimg.com/vi/m-EFrmQZzZY/default.jpg")</f>
        <v>https://i.ytimg.com/vi/m-EFrmQZzZY/default.jpg</v>
      </c>
      <c r="G662" s="67"/>
      <c r="H662" s="71"/>
      <c r="I662" s="72"/>
      <c r="J662" s="72"/>
      <c r="K662" s="71" t="s">
        <v>1751</v>
      </c>
      <c r="L662" s="75"/>
      <c r="M662" s="76">
        <v>3642.79638671875</v>
      </c>
      <c r="N662" s="76">
        <v>2009.8306884765625</v>
      </c>
      <c r="O662" s="77"/>
      <c r="P662" s="78"/>
      <c r="Q662" s="78"/>
      <c r="R662" s="82"/>
      <c r="S662" s="82"/>
      <c r="T662" s="82"/>
      <c r="U662" s="82"/>
      <c r="V662" s="52"/>
      <c r="W662" s="52"/>
      <c r="X662" s="52"/>
      <c r="Y662" s="52"/>
      <c r="Z662" s="51"/>
      <c r="AA662" s="73">
        <v>662</v>
      </c>
      <c r="AB662" s="73"/>
      <c r="AC662" s="74"/>
      <c r="AD662" s="80" t="s">
        <v>1751</v>
      </c>
      <c r="AE662" s="80" t="s">
        <v>2476</v>
      </c>
      <c r="AF662" s="80" t="s">
        <v>3230</v>
      </c>
      <c r="AG662" s="80" t="s">
        <v>4208</v>
      </c>
      <c r="AH662" s="80" t="s">
        <v>5215</v>
      </c>
      <c r="AI662" s="80">
        <v>11</v>
      </c>
      <c r="AJ662" s="80">
        <v>0</v>
      </c>
      <c r="AK662" s="80">
        <v>1</v>
      </c>
      <c r="AL662" s="80">
        <v>0</v>
      </c>
      <c r="AM662" s="80" t="s">
        <v>5614</v>
      </c>
      <c r="AN662" s="102" t="str">
        <f>HYPERLINK("https://www.youtube.com/watch?v=m-EFrmQZzZY")</f>
        <v>https://www.youtube.com/watch?v=m-EFrmQZzZY</v>
      </c>
      <c r="AO662" s="2"/>
      <c r="AP662" s="3"/>
      <c r="AQ662" s="3"/>
      <c r="AR662" s="3"/>
      <c r="AS662" s="3"/>
    </row>
    <row r="663" spans="1:45" ht="15">
      <c r="A663" s="66" t="s">
        <v>840</v>
      </c>
      <c r="B663" s="67"/>
      <c r="C663" s="67"/>
      <c r="D663" s="68"/>
      <c r="E663" s="70"/>
      <c r="F663" s="100" t="str">
        <f>HYPERLINK("https://i.ytimg.com/vi/uc5msHvdHaU/default.jpg")</f>
        <v>https://i.ytimg.com/vi/uc5msHvdHaU/default.jpg</v>
      </c>
      <c r="G663" s="67"/>
      <c r="H663" s="71"/>
      <c r="I663" s="72"/>
      <c r="J663" s="72"/>
      <c r="K663" s="71" t="s">
        <v>1894</v>
      </c>
      <c r="L663" s="75"/>
      <c r="M663" s="76">
        <v>2638.009765625</v>
      </c>
      <c r="N663" s="76">
        <v>444.1067199707031</v>
      </c>
      <c r="O663" s="77"/>
      <c r="P663" s="78"/>
      <c r="Q663" s="78"/>
      <c r="R663" s="82"/>
      <c r="S663" s="82"/>
      <c r="T663" s="82"/>
      <c r="U663" s="82"/>
      <c r="V663" s="52"/>
      <c r="W663" s="52"/>
      <c r="X663" s="52"/>
      <c r="Y663" s="52"/>
      <c r="Z663" s="51"/>
      <c r="AA663" s="73">
        <v>663</v>
      </c>
      <c r="AB663" s="73"/>
      <c r="AC663" s="74"/>
      <c r="AD663" s="80" t="s">
        <v>1894</v>
      </c>
      <c r="AE663" s="80" t="s">
        <v>2840</v>
      </c>
      <c r="AF663" s="80" t="s">
        <v>3580</v>
      </c>
      <c r="AG663" s="80" t="s">
        <v>4312</v>
      </c>
      <c r="AH663" s="80" t="s">
        <v>5216</v>
      </c>
      <c r="AI663" s="80">
        <v>3229601</v>
      </c>
      <c r="AJ663" s="80">
        <v>1452</v>
      </c>
      <c r="AK663" s="80">
        <v>31729</v>
      </c>
      <c r="AL663" s="80">
        <v>3205</v>
      </c>
      <c r="AM663" s="80" t="s">
        <v>5614</v>
      </c>
      <c r="AN663" s="102" t="str">
        <f>HYPERLINK("https://www.youtube.com/watch?v=uc5msHvdHaU")</f>
        <v>https://www.youtube.com/watch?v=uc5msHvdHaU</v>
      </c>
      <c r="AO663" s="2"/>
      <c r="AP663" s="3"/>
      <c r="AQ663" s="3"/>
      <c r="AR663" s="3"/>
      <c r="AS663" s="3"/>
    </row>
    <row r="664" spans="1:45" ht="15">
      <c r="A664" s="66" t="s">
        <v>841</v>
      </c>
      <c r="B664" s="67"/>
      <c r="C664" s="67"/>
      <c r="D664" s="68"/>
      <c r="E664" s="70"/>
      <c r="F664" s="100" t="str">
        <f>HYPERLINK("https://i.ytimg.com/vi/zQT7vcwwiVs/default.jpg")</f>
        <v>https://i.ytimg.com/vi/zQT7vcwwiVs/default.jpg</v>
      </c>
      <c r="G664" s="67"/>
      <c r="H664" s="71"/>
      <c r="I664" s="72"/>
      <c r="J664" s="72"/>
      <c r="K664" s="71" t="s">
        <v>1895</v>
      </c>
      <c r="L664" s="75"/>
      <c r="M664" s="76">
        <v>2366.99169921875</v>
      </c>
      <c r="N664" s="76">
        <v>640.4931640625</v>
      </c>
      <c r="O664" s="77"/>
      <c r="P664" s="78"/>
      <c r="Q664" s="78"/>
      <c r="R664" s="82"/>
      <c r="S664" s="82"/>
      <c r="T664" s="82"/>
      <c r="U664" s="82"/>
      <c r="V664" s="52"/>
      <c r="W664" s="52"/>
      <c r="X664" s="52"/>
      <c r="Y664" s="52"/>
      <c r="Z664" s="51"/>
      <c r="AA664" s="73">
        <v>664</v>
      </c>
      <c r="AB664" s="73"/>
      <c r="AC664" s="74"/>
      <c r="AD664" s="80" t="s">
        <v>1895</v>
      </c>
      <c r="AE664" s="80" t="s">
        <v>2841</v>
      </c>
      <c r="AF664" s="80" t="s">
        <v>3581</v>
      </c>
      <c r="AG664" s="80" t="s">
        <v>4313</v>
      </c>
      <c r="AH664" s="80" t="s">
        <v>5217</v>
      </c>
      <c r="AI664" s="80">
        <v>1271547</v>
      </c>
      <c r="AJ664" s="80">
        <v>359</v>
      </c>
      <c r="AK664" s="80">
        <v>8358</v>
      </c>
      <c r="AL664" s="80">
        <v>1158</v>
      </c>
      <c r="AM664" s="80" t="s">
        <v>5614</v>
      </c>
      <c r="AN664" s="102" t="str">
        <f>HYPERLINK("https://www.youtube.com/watch?v=zQT7vcwwiVs")</f>
        <v>https://www.youtube.com/watch?v=zQT7vcwwiVs</v>
      </c>
      <c r="AO664" s="2"/>
      <c r="AP664" s="3"/>
      <c r="AQ664" s="3"/>
      <c r="AR664" s="3"/>
      <c r="AS664" s="3"/>
    </row>
    <row r="665" spans="1:45" ht="15">
      <c r="A665" s="66" t="s">
        <v>842</v>
      </c>
      <c r="B665" s="67"/>
      <c r="C665" s="67"/>
      <c r="D665" s="68"/>
      <c r="E665" s="70"/>
      <c r="F665" s="100" t="str">
        <f>HYPERLINK("https://i.ytimg.com/vi/Rkz2rBtWTiY/default.jpg")</f>
        <v>https://i.ytimg.com/vi/Rkz2rBtWTiY/default.jpg</v>
      </c>
      <c r="G665" s="67"/>
      <c r="H665" s="71"/>
      <c r="I665" s="72"/>
      <c r="J665" s="72"/>
      <c r="K665" s="71" t="s">
        <v>1896</v>
      </c>
      <c r="L665" s="75"/>
      <c r="M665" s="76">
        <v>2804.689453125</v>
      </c>
      <c r="N665" s="76">
        <v>351.5697326660156</v>
      </c>
      <c r="O665" s="77"/>
      <c r="P665" s="78"/>
      <c r="Q665" s="78"/>
      <c r="R665" s="82"/>
      <c r="S665" s="82"/>
      <c r="T665" s="82"/>
      <c r="U665" s="82"/>
      <c r="V665" s="52"/>
      <c r="W665" s="52"/>
      <c r="X665" s="52"/>
      <c r="Y665" s="52"/>
      <c r="Z665" s="51"/>
      <c r="AA665" s="73">
        <v>665</v>
      </c>
      <c r="AB665" s="73"/>
      <c r="AC665" s="74"/>
      <c r="AD665" s="80" t="s">
        <v>1896</v>
      </c>
      <c r="AE665" s="80" t="s">
        <v>2842</v>
      </c>
      <c r="AF665" s="80" t="s">
        <v>3582</v>
      </c>
      <c r="AG665" s="80" t="s">
        <v>4314</v>
      </c>
      <c r="AH665" s="80" t="s">
        <v>5218</v>
      </c>
      <c r="AI665" s="80">
        <v>3560</v>
      </c>
      <c r="AJ665" s="80">
        <v>3</v>
      </c>
      <c r="AK665" s="80">
        <v>17</v>
      </c>
      <c r="AL665" s="80">
        <v>10</v>
      </c>
      <c r="AM665" s="80" t="s">
        <v>5614</v>
      </c>
      <c r="AN665" s="102" t="str">
        <f>HYPERLINK("https://www.youtube.com/watch?v=Rkz2rBtWTiY")</f>
        <v>https://www.youtube.com/watch?v=Rkz2rBtWTiY</v>
      </c>
      <c r="AO665" s="2"/>
      <c r="AP665" s="3"/>
      <c r="AQ665" s="3"/>
      <c r="AR665" s="3"/>
      <c r="AS665" s="3"/>
    </row>
    <row r="666" spans="1:45" ht="15">
      <c r="A666" s="66" t="s">
        <v>843</v>
      </c>
      <c r="B666" s="67"/>
      <c r="C666" s="67"/>
      <c r="D666" s="68"/>
      <c r="E666" s="70"/>
      <c r="F666" s="100" t="str">
        <f>HYPERLINK("https://i.ytimg.com/vi/Cl8feBZ7Ysk/default.jpg")</f>
        <v>https://i.ytimg.com/vi/Cl8feBZ7Ysk/default.jpg</v>
      </c>
      <c r="G666" s="67"/>
      <c r="H666" s="71"/>
      <c r="I666" s="72"/>
      <c r="J666" s="72"/>
      <c r="K666" s="71" t="s">
        <v>1897</v>
      </c>
      <c r="L666" s="75"/>
      <c r="M666" s="76">
        <v>1887.33544921875</v>
      </c>
      <c r="N666" s="76">
        <v>1088.2852783203125</v>
      </c>
      <c r="O666" s="77"/>
      <c r="P666" s="78"/>
      <c r="Q666" s="78"/>
      <c r="R666" s="82"/>
      <c r="S666" s="82"/>
      <c r="T666" s="82"/>
      <c r="U666" s="82"/>
      <c r="V666" s="52"/>
      <c r="W666" s="52"/>
      <c r="X666" s="52"/>
      <c r="Y666" s="52"/>
      <c r="Z666" s="51"/>
      <c r="AA666" s="73">
        <v>666</v>
      </c>
      <c r="AB666" s="73"/>
      <c r="AC666" s="74"/>
      <c r="AD666" s="80" t="s">
        <v>1897</v>
      </c>
      <c r="AE666" s="80" t="s">
        <v>2843</v>
      </c>
      <c r="AF666" s="80" t="s">
        <v>3583</v>
      </c>
      <c r="AG666" s="80" t="s">
        <v>4315</v>
      </c>
      <c r="AH666" s="80" t="s">
        <v>5219</v>
      </c>
      <c r="AI666" s="80">
        <v>104979932</v>
      </c>
      <c r="AJ666" s="80">
        <v>10365</v>
      </c>
      <c r="AK666" s="80">
        <v>462603</v>
      </c>
      <c r="AL666" s="80">
        <v>120556</v>
      </c>
      <c r="AM666" s="80" t="s">
        <v>5614</v>
      </c>
      <c r="AN666" s="102" t="str">
        <f>HYPERLINK("https://www.youtube.com/watch?v=Cl8feBZ7Ysk")</f>
        <v>https://www.youtube.com/watch?v=Cl8feBZ7Ysk</v>
      </c>
      <c r="AO666" s="2"/>
      <c r="AP666" s="3"/>
      <c r="AQ666" s="3"/>
      <c r="AR666" s="3"/>
      <c r="AS666" s="3"/>
    </row>
    <row r="667" spans="1:45" ht="15">
      <c r="A667" s="66" t="s">
        <v>844</v>
      </c>
      <c r="B667" s="67"/>
      <c r="C667" s="67"/>
      <c r="D667" s="68"/>
      <c r="E667" s="70"/>
      <c r="F667" s="100" t="str">
        <f>HYPERLINK("https://i.ytimg.com/vi/2m0pXqv8Mn4/default.jpg")</f>
        <v>https://i.ytimg.com/vi/2m0pXqv8Mn4/default.jpg</v>
      </c>
      <c r="G667" s="67"/>
      <c r="H667" s="71"/>
      <c r="I667" s="72"/>
      <c r="J667" s="72"/>
      <c r="K667" s="71" t="s">
        <v>1898</v>
      </c>
      <c r="L667" s="75"/>
      <c r="M667" s="76">
        <v>1724.0869140625</v>
      </c>
      <c r="N667" s="76">
        <v>1263.59716796875</v>
      </c>
      <c r="O667" s="77"/>
      <c r="P667" s="78"/>
      <c r="Q667" s="78"/>
      <c r="R667" s="82"/>
      <c r="S667" s="82"/>
      <c r="T667" s="82"/>
      <c r="U667" s="82"/>
      <c r="V667" s="52"/>
      <c r="W667" s="52"/>
      <c r="X667" s="52"/>
      <c r="Y667" s="52"/>
      <c r="Z667" s="51"/>
      <c r="AA667" s="73">
        <v>667</v>
      </c>
      <c r="AB667" s="73"/>
      <c r="AC667" s="74"/>
      <c r="AD667" s="80" t="s">
        <v>1898</v>
      </c>
      <c r="AE667" s="80" t="s">
        <v>2844</v>
      </c>
      <c r="AF667" s="80" t="s">
        <v>3584</v>
      </c>
      <c r="AG667" s="80" t="s">
        <v>4316</v>
      </c>
      <c r="AH667" s="80" t="s">
        <v>5220</v>
      </c>
      <c r="AI667" s="80">
        <v>313651</v>
      </c>
      <c r="AJ667" s="80">
        <v>271</v>
      </c>
      <c r="AK667" s="80">
        <v>5041</v>
      </c>
      <c r="AL667" s="80">
        <v>405</v>
      </c>
      <c r="AM667" s="80" t="s">
        <v>5614</v>
      </c>
      <c r="AN667" s="102" t="str">
        <f>HYPERLINK("https://www.youtube.com/watch?v=2m0pXqv8Mn4")</f>
        <v>https://www.youtube.com/watch?v=2m0pXqv8Mn4</v>
      </c>
      <c r="AO667" s="2"/>
      <c r="AP667" s="3"/>
      <c r="AQ667" s="3"/>
      <c r="AR667" s="3"/>
      <c r="AS667" s="3"/>
    </row>
    <row r="668" spans="1:45" ht="15">
      <c r="A668" s="66" t="s">
        <v>845</v>
      </c>
      <c r="B668" s="67"/>
      <c r="C668" s="67"/>
      <c r="D668" s="68"/>
      <c r="E668" s="70"/>
      <c r="F668" s="100" t="str">
        <f>HYPERLINK("https://i.ytimg.com/vi/5cK3n8BLsPA/default.jpg")</f>
        <v>https://i.ytimg.com/vi/5cK3n8BLsPA/default.jpg</v>
      </c>
      <c r="G668" s="67"/>
      <c r="H668" s="71"/>
      <c r="I668" s="72"/>
      <c r="J668" s="72"/>
      <c r="K668" s="71" t="s">
        <v>1899</v>
      </c>
      <c r="L668" s="75"/>
      <c r="M668" s="76">
        <v>2092.0712890625</v>
      </c>
      <c r="N668" s="76">
        <v>839.7691040039062</v>
      </c>
      <c r="O668" s="77"/>
      <c r="P668" s="78"/>
      <c r="Q668" s="78"/>
      <c r="R668" s="82"/>
      <c r="S668" s="82"/>
      <c r="T668" s="82"/>
      <c r="U668" s="82"/>
      <c r="V668" s="52"/>
      <c r="W668" s="52"/>
      <c r="X668" s="52"/>
      <c r="Y668" s="52"/>
      <c r="Z668" s="51"/>
      <c r="AA668" s="73">
        <v>668</v>
      </c>
      <c r="AB668" s="73"/>
      <c r="AC668" s="74"/>
      <c r="AD668" s="80" t="s">
        <v>1899</v>
      </c>
      <c r="AE668" s="80" t="s">
        <v>2845</v>
      </c>
      <c r="AF668" s="80" t="s">
        <v>3585</v>
      </c>
      <c r="AG668" s="80" t="s">
        <v>4317</v>
      </c>
      <c r="AH668" s="80" t="s">
        <v>5221</v>
      </c>
      <c r="AI668" s="80">
        <v>38237</v>
      </c>
      <c r="AJ668" s="80">
        <v>117</v>
      </c>
      <c r="AK668" s="80">
        <v>1165</v>
      </c>
      <c r="AL668" s="80">
        <v>29</v>
      </c>
      <c r="AM668" s="80" t="s">
        <v>5614</v>
      </c>
      <c r="AN668" s="102" t="str">
        <f>HYPERLINK("https://www.youtube.com/watch?v=5cK3n8BLsPA")</f>
        <v>https://www.youtube.com/watch?v=5cK3n8BLsPA</v>
      </c>
      <c r="AO668" s="2"/>
      <c r="AP668" s="3"/>
      <c r="AQ668" s="3"/>
      <c r="AR668" s="3"/>
      <c r="AS668" s="3"/>
    </row>
    <row r="669" spans="1:45" ht="15">
      <c r="A669" s="66" t="s">
        <v>846</v>
      </c>
      <c r="B669" s="67"/>
      <c r="C669" s="67"/>
      <c r="D669" s="68"/>
      <c r="E669" s="70"/>
      <c r="F669" s="100" t="str">
        <f>HYPERLINK("https://i.ytimg.com/vi/2INSSI2gYxc/default.jpg")</f>
        <v>https://i.ytimg.com/vi/2INSSI2gYxc/default.jpg</v>
      </c>
      <c r="G669" s="67"/>
      <c r="H669" s="71"/>
      <c r="I669" s="72"/>
      <c r="J669" s="72"/>
      <c r="K669" s="71" t="s">
        <v>1900</v>
      </c>
      <c r="L669" s="75"/>
      <c r="M669" s="76">
        <v>2322.393310546875</v>
      </c>
      <c r="N669" s="76">
        <v>675.5831298828125</v>
      </c>
      <c r="O669" s="77"/>
      <c r="P669" s="78"/>
      <c r="Q669" s="78"/>
      <c r="R669" s="82"/>
      <c r="S669" s="82"/>
      <c r="T669" s="82"/>
      <c r="U669" s="82"/>
      <c r="V669" s="52"/>
      <c r="W669" s="52"/>
      <c r="X669" s="52"/>
      <c r="Y669" s="52"/>
      <c r="Z669" s="51"/>
      <c r="AA669" s="73">
        <v>669</v>
      </c>
      <c r="AB669" s="73"/>
      <c r="AC669" s="74"/>
      <c r="AD669" s="80" t="s">
        <v>1900</v>
      </c>
      <c r="AE669" s="80" t="s">
        <v>2846</v>
      </c>
      <c r="AF669" s="80" t="s">
        <v>3586</v>
      </c>
      <c r="AG669" s="80" t="s">
        <v>4315</v>
      </c>
      <c r="AH669" s="80" t="s">
        <v>5222</v>
      </c>
      <c r="AI669" s="80">
        <v>39975038</v>
      </c>
      <c r="AJ669" s="80">
        <v>11635</v>
      </c>
      <c r="AK669" s="80">
        <v>264262</v>
      </c>
      <c r="AL669" s="80">
        <v>42552</v>
      </c>
      <c r="AM669" s="80" t="s">
        <v>5614</v>
      </c>
      <c r="AN669" s="102" t="str">
        <f>HYPERLINK("https://www.youtube.com/watch?v=2INSSI2gYxc")</f>
        <v>https://www.youtube.com/watch?v=2INSSI2gYxc</v>
      </c>
      <c r="AO669" s="2"/>
      <c r="AP669" s="3"/>
      <c r="AQ669" s="3"/>
      <c r="AR669" s="3"/>
      <c r="AS669" s="3"/>
    </row>
    <row r="670" spans="1:45" ht="15">
      <c r="A670" s="66" t="s">
        <v>847</v>
      </c>
      <c r="B670" s="67"/>
      <c r="C670" s="67"/>
      <c r="D670" s="68"/>
      <c r="E670" s="70"/>
      <c r="F670" s="100" t="str">
        <f>HYPERLINK("https://i.ytimg.com/vi/8AK1yGP4nbI/default.jpg")</f>
        <v>https://i.ytimg.com/vi/8AK1yGP4nbI/default.jpg</v>
      </c>
      <c r="G670" s="67"/>
      <c r="H670" s="71"/>
      <c r="I670" s="72"/>
      <c r="J670" s="72"/>
      <c r="K670" s="71" t="s">
        <v>1901</v>
      </c>
      <c r="L670" s="75"/>
      <c r="M670" s="76">
        <v>2491.930419921875</v>
      </c>
      <c r="N670" s="76">
        <v>557.2825317382812</v>
      </c>
      <c r="O670" s="77"/>
      <c r="P670" s="78"/>
      <c r="Q670" s="78"/>
      <c r="R670" s="82"/>
      <c r="S670" s="82"/>
      <c r="T670" s="82"/>
      <c r="U670" s="82"/>
      <c r="V670" s="52"/>
      <c r="W670" s="52"/>
      <c r="X670" s="52"/>
      <c r="Y670" s="52"/>
      <c r="Z670" s="51"/>
      <c r="AA670" s="73">
        <v>670</v>
      </c>
      <c r="AB670" s="73"/>
      <c r="AC670" s="74"/>
      <c r="AD670" s="80" t="s">
        <v>1901</v>
      </c>
      <c r="AE670" s="80" t="s">
        <v>2847</v>
      </c>
      <c r="AF670" s="80" t="s">
        <v>3587</v>
      </c>
      <c r="AG670" s="80" t="s">
        <v>4318</v>
      </c>
      <c r="AH670" s="80" t="s">
        <v>5223</v>
      </c>
      <c r="AI670" s="80">
        <v>24722786</v>
      </c>
      <c r="AJ670" s="80">
        <v>1825</v>
      </c>
      <c r="AK670" s="80">
        <v>120330</v>
      </c>
      <c r="AL670" s="80">
        <v>21308</v>
      </c>
      <c r="AM670" s="80" t="s">
        <v>5614</v>
      </c>
      <c r="AN670" s="102" t="str">
        <f>HYPERLINK("https://www.youtube.com/watch?v=8AK1yGP4nbI")</f>
        <v>https://www.youtube.com/watch?v=8AK1yGP4nbI</v>
      </c>
      <c r="AO670" s="2"/>
      <c r="AP670" s="3"/>
      <c r="AQ670" s="3"/>
      <c r="AR670" s="3"/>
      <c r="AS670" s="3"/>
    </row>
    <row r="671" spans="1:45" ht="15">
      <c r="A671" s="66" t="s">
        <v>848</v>
      </c>
      <c r="B671" s="67"/>
      <c r="C671" s="67"/>
      <c r="D671" s="68"/>
      <c r="E671" s="70"/>
      <c r="F671" s="100" t="str">
        <f>HYPERLINK("https://i.ytimg.com/vi/pNfTK39k55U/default.jpg")</f>
        <v>https://i.ytimg.com/vi/pNfTK39k55U/default.jpg</v>
      </c>
      <c r="G671" s="67"/>
      <c r="H671" s="71"/>
      <c r="I671" s="72"/>
      <c r="J671" s="72"/>
      <c r="K671" s="71" t="s">
        <v>1902</v>
      </c>
      <c r="L671" s="75"/>
      <c r="M671" s="76">
        <v>3033.89697265625</v>
      </c>
      <c r="N671" s="76">
        <v>203.2275848388672</v>
      </c>
      <c r="O671" s="77"/>
      <c r="P671" s="78"/>
      <c r="Q671" s="78"/>
      <c r="R671" s="82"/>
      <c r="S671" s="82"/>
      <c r="T671" s="82"/>
      <c r="U671" s="82"/>
      <c r="V671" s="52"/>
      <c r="W671" s="52"/>
      <c r="X671" s="52"/>
      <c r="Y671" s="52"/>
      <c r="Z671" s="51"/>
      <c r="AA671" s="73">
        <v>671</v>
      </c>
      <c r="AB671" s="73"/>
      <c r="AC671" s="74"/>
      <c r="AD671" s="80" t="s">
        <v>1902</v>
      </c>
      <c r="AE671" s="80" t="s">
        <v>2848</v>
      </c>
      <c r="AF671" s="80" t="s">
        <v>3588</v>
      </c>
      <c r="AG671" s="80" t="s">
        <v>4319</v>
      </c>
      <c r="AH671" s="80" t="s">
        <v>5224</v>
      </c>
      <c r="AI671" s="80">
        <v>275108220</v>
      </c>
      <c r="AJ671" s="80">
        <v>325705</v>
      </c>
      <c r="AK671" s="80">
        <v>3722422</v>
      </c>
      <c r="AL671" s="80">
        <v>225994</v>
      </c>
      <c r="AM671" s="80" t="s">
        <v>5614</v>
      </c>
      <c r="AN671" s="102" t="str">
        <f>HYPERLINK("https://www.youtube.com/watch?v=pNfTK39k55U")</f>
        <v>https://www.youtube.com/watch?v=pNfTK39k55U</v>
      </c>
      <c r="AO671" s="2"/>
      <c r="AP671" s="3"/>
      <c r="AQ671" s="3"/>
      <c r="AR671" s="3"/>
      <c r="AS671" s="3"/>
    </row>
    <row r="672" spans="1:45" ht="15">
      <c r="A672" s="66" t="s">
        <v>849</v>
      </c>
      <c r="B672" s="67"/>
      <c r="C672" s="67"/>
      <c r="D672" s="68"/>
      <c r="E672" s="70"/>
      <c r="F672" s="100" t="str">
        <f>HYPERLINK("https://i.ytimg.com/vi/Q31eTDRwy9w/default.jpg")</f>
        <v>https://i.ytimg.com/vi/Q31eTDRwy9w/default.jpg</v>
      </c>
      <c r="G672" s="67"/>
      <c r="H672" s="71"/>
      <c r="I672" s="72"/>
      <c r="J672" s="72"/>
      <c r="K672" s="71" t="s">
        <v>1903</v>
      </c>
      <c r="L672" s="75"/>
      <c r="M672" s="76">
        <v>3156.093505859375</v>
      </c>
      <c r="N672" s="76">
        <v>147.20716857910156</v>
      </c>
      <c r="O672" s="77"/>
      <c r="P672" s="78"/>
      <c r="Q672" s="78"/>
      <c r="R672" s="82"/>
      <c r="S672" s="82"/>
      <c r="T672" s="82"/>
      <c r="U672" s="82"/>
      <c r="V672" s="52"/>
      <c r="W672" s="52"/>
      <c r="X672" s="52"/>
      <c r="Y672" s="52"/>
      <c r="Z672" s="51"/>
      <c r="AA672" s="73">
        <v>672</v>
      </c>
      <c r="AB672" s="73"/>
      <c r="AC672" s="74"/>
      <c r="AD672" s="80" t="s">
        <v>1903</v>
      </c>
      <c r="AE672" s="80" t="s">
        <v>2849</v>
      </c>
      <c r="AF672" s="80" t="s">
        <v>3589</v>
      </c>
      <c r="AG672" s="80" t="s">
        <v>4320</v>
      </c>
      <c r="AH672" s="80" t="s">
        <v>5225</v>
      </c>
      <c r="AI672" s="80">
        <v>3305749</v>
      </c>
      <c r="AJ672" s="80">
        <v>2179</v>
      </c>
      <c r="AK672" s="80">
        <v>66664</v>
      </c>
      <c r="AL672" s="80">
        <v>3367</v>
      </c>
      <c r="AM672" s="80" t="s">
        <v>5614</v>
      </c>
      <c r="AN672" s="102" t="str">
        <f>HYPERLINK("https://www.youtube.com/watch?v=Q31eTDRwy9w")</f>
        <v>https://www.youtube.com/watch?v=Q31eTDRwy9w</v>
      </c>
      <c r="AO672" s="2"/>
      <c r="AP672" s="3"/>
      <c r="AQ672" s="3"/>
      <c r="AR672" s="3"/>
      <c r="AS672" s="3"/>
    </row>
    <row r="673" spans="1:45" ht="15">
      <c r="A673" s="66" t="s">
        <v>850</v>
      </c>
      <c r="B673" s="67"/>
      <c r="C673" s="67"/>
      <c r="D673" s="68"/>
      <c r="E673" s="70"/>
      <c r="F673" s="100" t="str">
        <f>HYPERLINK("https://i.ytimg.com/vi/A-eX9Z2v8AU/default.jpg")</f>
        <v>https://i.ytimg.com/vi/A-eX9Z2v8AU/default.jpg</v>
      </c>
      <c r="G673" s="67"/>
      <c r="H673" s="71"/>
      <c r="I673" s="72"/>
      <c r="J673" s="72"/>
      <c r="K673" s="71" t="s">
        <v>1904</v>
      </c>
      <c r="L673" s="75"/>
      <c r="M673" s="76">
        <v>1974.062255859375</v>
      </c>
      <c r="N673" s="76">
        <v>988.7681274414062</v>
      </c>
      <c r="O673" s="77"/>
      <c r="P673" s="78"/>
      <c r="Q673" s="78"/>
      <c r="R673" s="82"/>
      <c r="S673" s="82"/>
      <c r="T673" s="82"/>
      <c r="U673" s="82"/>
      <c r="V673" s="52"/>
      <c r="W673" s="52"/>
      <c r="X673" s="52"/>
      <c r="Y673" s="52"/>
      <c r="Z673" s="51"/>
      <c r="AA673" s="73">
        <v>673</v>
      </c>
      <c r="AB673" s="73"/>
      <c r="AC673" s="74"/>
      <c r="AD673" s="80" t="s">
        <v>1904</v>
      </c>
      <c r="AE673" s="80" t="s">
        <v>2850</v>
      </c>
      <c r="AF673" s="80" t="s">
        <v>3590</v>
      </c>
      <c r="AG673" s="80" t="s">
        <v>4320</v>
      </c>
      <c r="AH673" s="80" t="s">
        <v>5226</v>
      </c>
      <c r="AI673" s="80">
        <v>985699</v>
      </c>
      <c r="AJ673" s="80">
        <v>643</v>
      </c>
      <c r="AK673" s="80">
        <v>30551</v>
      </c>
      <c r="AL673" s="80">
        <v>788</v>
      </c>
      <c r="AM673" s="80" t="s">
        <v>5614</v>
      </c>
      <c r="AN673" s="102" t="str">
        <f>HYPERLINK("https://www.youtube.com/watch?v=A-eX9Z2v8AU")</f>
        <v>https://www.youtube.com/watch?v=A-eX9Z2v8AU</v>
      </c>
      <c r="AO673" s="2"/>
      <c r="AP673" s="3"/>
      <c r="AQ673" s="3"/>
      <c r="AR673" s="3"/>
      <c r="AS673" s="3"/>
    </row>
    <row r="674" spans="1:45" ht="15">
      <c r="A674" s="66" t="s">
        <v>851</v>
      </c>
      <c r="B674" s="67"/>
      <c r="C674" s="67"/>
      <c r="D674" s="68"/>
      <c r="E674" s="70"/>
      <c r="F674" s="100" t="str">
        <f>HYPERLINK("https://i.ytimg.com/vi/gGBS0k6cWuw/default.jpg")</f>
        <v>https://i.ytimg.com/vi/gGBS0k6cWuw/default.jpg</v>
      </c>
      <c r="G674" s="67"/>
      <c r="H674" s="71"/>
      <c r="I674" s="72"/>
      <c r="J674" s="72"/>
      <c r="K674" s="71" t="s">
        <v>1905</v>
      </c>
      <c r="L674" s="75"/>
      <c r="M674" s="76">
        <v>2305.386962890625</v>
      </c>
      <c r="N674" s="76">
        <v>705.5882568359375</v>
      </c>
      <c r="O674" s="77"/>
      <c r="P674" s="78"/>
      <c r="Q674" s="78"/>
      <c r="R674" s="82"/>
      <c r="S674" s="82"/>
      <c r="T674" s="82"/>
      <c r="U674" s="82"/>
      <c r="V674" s="52"/>
      <c r="W674" s="52"/>
      <c r="X674" s="52"/>
      <c r="Y674" s="52"/>
      <c r="Z674" s="51"/>
      <c r="AA674" s="73">
        <v>674</v>
      </c>
      <c r="AB674" s="73"/>
      <c r="AC674" s="74"/>
      <c r="AD674" s="80" t="s">
        <v>1905</v>
      </c>
      <c r="AE674" s="80" t="s">
        <v>2851</v>
      </c>
      <c r="AF674" s="80" t="s">
        <v>3591</v>
      </c>
      <c r="AG674" s="80" t="s">
        <v>4321</v>
      </c>
      <c r="AH674" s="80" t="s">
        <v>5227</v>
      </c>
      <c r="AI674" s="80">
        <v>3937607</v>
      </c>
      <c r="AJ674" s="80">
        <v>65</v>
      </c>
      <c r="AK674" s="80">
        <v>4588</v>
      </c>
      <c r="AL674" s="80">
        <v>944</v>
      </c>
      <c r="AM674" s="80" t="s">
        <v>5614</v>
      </c>
      <c r="AN674" s="102" t="str">
        <f>HYPERLINK("https://www.youtube.com/watch?v=gGBS0k6cWuw")</f>
        <v>https://www.youtube.com/watch?v=gGBS0k6cWuw</v>
      </c>
      <c r="AO674" s="2"/>
      <c r="AP674" s="3"/>
      <c r="AQ674" s="3"/>
      <c r="AR674" s="3"/>
      <c r="AS674" s="3"/>
    </row>
    <row r="675" spans="1:45" ht="15">
      <c r="A675" s="66" t="s">
        <v>852</v>
      </c>
      <c r="B675" s="67"/>
      <c r="C675" s="67"/>
      <c r="D675" s="68"/>
      <c r="E675" s="70"/>
      <c r="F675" s="100" t="str">
        <f>HYPERLINK("https://i.ytimg.com/vi/_g4rROYL3Ug/default.jpg")</f>
        <v>https://i.ytimg.com/vi/_g4rROYL3Ug/default.jpg</v>
      </c>
      <c r="G675" s="67"/>
      <c r="H675" s="71"/>
      <c r="I675" s="72"/>
      <c r="J675" s="72"/>
      <c r="K675" s="71" t="s">
        <v>1906</v>
      </c>
      <c r="L675" s="75"/>
      <c r="M675" s="76">
        <v>2958.147705078125</v>
      </c>
      <c r="N675" s="76">
        <v>230.95938110351562</v>
      </c>
      <c r="O675" s="77"/>
      <c r="P675" s="78"/>
      <c r="Q675" s="78"/>
      <c r="R675" s="82"/>
      <c r="S675" s="82"/>
      <c r="T675" s="82"/>
      <c r="U675" s="82"/>
      <c r="V675" s="52"/>
      <c r="W675" s="52"/>
      <c r="X675" s="52"/>
      <c r="Y675" s="52"/>
      <c r="Z675" s="51"/>
      <c r="AA675" s="73">
        <v>675</v>
      </c>
      <c r="AB675" s="73"/>
      <c r="AC675" s="74"/>
      <c r="AD675" s="80" t="s">
        <v>1906</v>
      </c>
      <c r="AE675" s="80"/>
      <c r="AF675" s="80"/>
      <c r="AG675" s="80" t="s">
        <v>4322</v>
      </c>
      <c r="AH675" s="80" t="s">
        <v>5228</v>
      </c>
      <c r="AI675" s="80">
        <v>4335419</v>
      </c>
      <c r="AJ675" s="80">
        <v>1017</v>
      </c>
      <c r="AK675" s="80">
        <v>21035</v>
      </c>
      <c r="AL675" s="80">
        <v>2320</v>
      </c>
      <c r="AM675" s="80" t="s">
        <v>5614</v>
      </c>
      <c r="AN675" s="102" t="str">
        <f>HYPERLINK("https://www.youtube.com/watch?v=_g4rROYL3Ug")</f>
        <v>https://www.youtube.com/watch?v=_g4rROYL3Ug</v>
      </c>
      <c r="AO675" s="2"/>
      <c r="AP675" s="3"/>
      <c r="AQ675" s="3"/>
      <c r="AR675" s="3"/>
      <c r="AS675" s="3"/>
    </row>
    <row r="676" spans="1:45" ht="15">
      <c r="A676" s="66" t="s">
        <v>853</v>
      </c>
      <c r="B676" s="67"/>
      <c r="C676" s="67"/>
      <c r="D676" s="68"/>
      <c r="E676" s="70"/>
      <c r="F676" s="100" t="str">
        <f>HYPERLINK("https://i.ytimg.com/vi/mnd7Ja0KmUg/default.jpg")</f>
        <v>https://i.ytimg.com/vi/mnd7Ja0KmUg/default.jpg</v>
      </c>
      <c r="G676" s="67"/>
      <c r="H676" s="71"/>
      <c r="I676" s="72"/>
      <c r="J676" s="72"/>
      <c r="K676" s="71" t="s">
        <v>1907</v>
      </c>
      <c r="L676" s="75"/>
      <c r="M676" s="76">
        <v>2701.943115234375</v>
      </c>
      <c r="N676" s="76">
        <v>407.68255615234375</v>
      </c>
      <c r="O676" s="77"/>
      <c r="P676" s="78"/>
      <c r="Q676" s="78"/>
      <c r="R676" s="82"/>
      <c r="S676" s="82"/>
      <c r="T676" s="82"/>
      <c r="U676" s="82"/>
      <c r="V676" s="52"/>
      <c r="W676" s="52"/>
      <c r="X676" s="52"/>
      <c r="Y676" s="52"/>
      <c r="Z676" s="51"/>
      <c r="AA676" s="73">
        <v>676</v>
      </c>
      <c r="AB676" s="73"/>
      <c r="AC676" s="74"/>
      <c r="AD676" s="80" t="s">
        <v>1907</v>
      </c>
      <c r="AE676" s="80" t="s">
        <v>2852</v>
      </c>
      <c r="AF676" s="80" t="s">
        <v>3592</v>
      </c>
      <c r="AG676" s="80" t="s">
        <v>4318</v>
      </c>
      <c r="AH676" s="80" t="s">
        <v>5229</v>
      </c>
      <c r="AI676" s="80">
        <v>37952423</v>
      </c>
      <c r="AJ676" s="80">
        <v>4617</v>
      </c>
      <c r="AK676" s="80">
        <v>104490</v>
      </c>
      <c r="AL676" s="80">
        <v>21270</v>
      </c>
      <c r="AM676" s="80" t="s">
        <v>5614</v>
      </c>
      <c r="AN676" s="102" t="str">
        <f>HYPERLINK("https://www.youtube.com/watch?v=mnd7Ja0KmUg")</f>
        <v>https://www.youtube.com/watch?v=mnd7Ja0KmUg</v>
      </c>
      <c r="AO676" s="2"/>
      <c r="AP676" s="3"/>
      <c r="AQ676" s="3"/>
      <c r="AR676" s="3"/>
      <c r="AS676" s="3"/>
    </row>
    <row r="677" spans="1:45" ht="15">
      <c r="A677" s="66" t="s">
        <v>854</v>
      </c>
      <c r="B677" s="67"/>
      <c r="C677" s="67"/>
      <c r="D677" s="68"/>
      <c r="E677" s="70"/>
      <c r="F677" s="100" t="str">
        <f>HYPERLINK("https://i.ytimg.com/vi/mH1pDc5ybbw/default.jpg")</f>
        <v>https://i.ytimg.com/vi/mH1pDc5ybbw/default.jpg</v>
      </c>
      <c r="G677" s="67"/>
      <c r="H677" s="71"/>
      <c r="I677" s="72"/>
      <c r="J677" s="72"/>
      <c r="K677" s="71" t="s">
        <v>1908</v>
      </c>
      <c r="L677" s="75"/>
      <c r="M677" s="76">
        <v>1679.552001953125</v>
      </c>
      <c r="N677" s="76">
        <v>1308.6680908203125</v>
      </c>
      <c r="O677" s="77"/>
      <c r="P677" s="78"/>
      <c r="Q677" s="78"/>
      <c r="R677" s="82"/>
      <c r="S677" s="82"/>
      <c r="T677" s="82"/>
      <c r="U677" s="82"/>
      <c r="V677" s="52"/>
      <c r="W677" s="52"/>
      <c r="X677" s="52"/>
      <c r="Y677" s="52"/>
      <c r="Z677" s="51"/>
      <c r="AA677" s="73">
        <v>677</v>
      </c>
      <c r="AB677" s="73"/>
      <c r="AC677" s="74"/>
      <c r="AD677" s="80" t="s">
        <v>1908</v>
      </c>
      <c r="AE677" s="80"/>
      <c r="AF677" s="80" t="s">
        <v>1908</v>
      </c>
      <c r="AG677" s="80" t="s">
        <v>4323</v>
      </c>
      <c r="AH677" s="80" t="s">
        <v>5230</v>
      </c>
      <c r="AI677" s="80">
        <v>3446</v>
      </c>
      <c r="AJ677" s="80">
        <v>0</v>
      </c>
      <c r="AK677" s="80">
        <v>30</v>
      </c>
      <c r="AL677" s="80">
        <v>3</v>
      </c>
      <c r="AM677" s="80" t="s">
        <v>5614</v>
      </c>
      <c r="AN677" s="102" t="str">
        <f>HYPERLINK("https://www.youtube.com/watch?v=mH1pDc5ybbw")</f>
        <v>https://www.youtube.com/watch?v=mH1pDc5ybbw</v>
      </c>
      <c r="AO677" s="2"/>
      <c r="AP677" s="3"/>
      <c r="AQ677" s="3"/>
      <c r="AR677" s="3"/>
      <c r="AS677" s="3"/>
    </row>
    <row r="678" spans="1:45" ht="15">
      <c r="A678" s="66" t="s">
        <v>855</v>
      </c>
      <c r="B678" s="67"/>
      <c r="C678" s="67"/>
      <c r="D678" s="68"/>
      <c r="E678" s="70"/>
      <c r="F678" s="100" t="str">
        <f>HYPERLINK("https://i.ytimg.com/vi/C2vgICfQawE/default.jpg")</f>
        <v>https://i.ytimg.com/vi/C2vgICfQawE/default.jpg</v>
      </c>
      <c r="G678" s="67"/>
      <c r="H678" s="71"/>
      <c r="I678" s="72"/>
      <c r="J678" s="72"/>
      <c r="K678" s="71" t="s">
        <v>1909</v>
      </c>
      <c r="L678" s="75"/>
      <c r="M678" s="76">
        <v>2144.58447265625</v>
      </c>
      <c r="N678" s="76">
        <v>865.1130981445312</v>
      </c>
      <c r="O678" s="77"/>
      <c r="P678" s="78"/>
      <c r="Q678" s="78"/>
      <c r="R678" s="82"/>
      <c r="S678" s="82"/>
      <c r="T678" s="82"/>
      <c r="U678" s="82"/>
      <c r="V678" s="52"/>
      <c r="W678" s="52"/>
      <c r="X678" s="52"/>
      <c r="Y678" s="52"/>
      <c r="Z678" s="51"/>
      <c r="AA678" s="73">
        <v>678</v>
      </c>
      <c r="AB678" s="73"/>
      <c r="AC678" s="74"/>
      <c r="AD678" s="80" t="s">
        <v>1909</v>
      </c>
      <c r="AE678" s="80" t="s">
        <v>2853</v>
      </c>
      <c r="AF678" s="80" t="s">
        <v>3593</v>
      </c>
      <c r="AG678" s="80" t="s">
        <v>4324</v>
      </c>
      <c r="AH678" s="80" t="s">
        <v>5231</v>
      </c>
      <c r="AI678" s="80">
        <v>4052884</v>
      </c>
      <c r="AJ678" s="80">
        <v>5738</v>
      </c>
      <c r="AK678" s="80">
        <v>72310</v>
      </c>
      <c r="AL678" s="80">
        <v>2989</v>
      </c>
      <c r="AM678" s="80" t="s">
        <v>5614</v>
      </c>
      <c r="AN678" s="102" t="str">
        <f>HYPERLINK("https://www.youtube.com/watch?v=C2vgICfQawE")</f>
        <v>https://www.youtube.com/watch?v=C2vgICfQawE</v>
      </c>
      <c r="AO678" s="2"/>
      <c r="AP678" s="3"/>
      <c r="AQ678" s="3"/>
      <c r="AR678" s="3"/>
      <c r="AS678" s="3"/>
    </row>
    <row r="679" spans="1:45" ht="15">
      <c r="A679" s="66" t="s">
        <v>856</v>
      </c>
      <c r="B679" s="67"/>
      <c r="C679" s="67"/>
      <c r="D679" s="68"/>
      <c r="E679" s="70"/>
      <c r="F679" s="100" t="str">
        <f>HYPERLINK("https://i.ytimg.com/vi/zBkjFGYKMhA/default.jpg")</f>
        <v>https://i.ytimg.com/vi/zBkjFGYKMhA/default.jpg</v>
      </c>
      <c r="G679" s="67"/>
      <c r="H679" s="71"/>
      <c r="I679" s="72"/>
      <c r="J679" s="72"/>
      <c r="K679" s="71" t="s">
        <v>1910</v>
      </c>
      <c r="L679" s="75"/>
      <c r="M679" s="76">
        <v>1945.461181640625</v>
      </c>
      <c r="N679" s="76">
        <v>1020.9813232421875</v>
      </c>
      <c r="O679" s="77"/>
      <c r="P679" s="78"/>
      <c r="Q679" s="78"/>
      <c r="R679" s="82"/>
      <c r="S679" s="82"/>
      <c r="T679" s="82"/>
      <c r="U679" s="82"/>
      <c r="V679" s="52"/>
      <c r="W679" s="52"/>
      <c r="X679" s="52"/>
      <c r="Y679" s="52"/>
      <c r="Z679" s="51"/>
      <c r="AA679" s="73">
        <v>679</v>
      </c>
      <c r="AB679" s="73"/>
      <c r="AC679" s="74"/>
      <c r="AD679" s="80" t="s">
        <v>1910</v>
      </c>
      <c r="AE679" s="80" t="s">
        <v>2854</v>
      </c>
      <c r="AF679" s="80" t="s">
        <v>3594</v>
      </c>
      <c r="AG679" s="80" t="s">
        <v>4325</v>
      </c>
      <c r="AH679" s="80" t="s">
        <v>5232</v>
      </c>
      <c r="AI679" s="80">
        <v>84141508</v>
      </c>
      <c r="AJ679" s="80">
        <v>5877</v>
      </c>
      <c r="AK679" s="80">
        <v>203917</v>
      </c>
      <c r="AL679" s="80">
        <v>57643</v>
      </c>
      <c r="AM679" s="80" t="s">
        <v>5614</v>
      </c>
      <c r="AN679" s="102" t="str">
        <f>HYPERLINK("https://www.youtube.com/watch?v=zBkjFGYKMhA")</f>
        <v>https://www.youtube.com/watch?v=zBkjFGYKMhA</v>
      </c>
      <c r="AO679" s="2"/>
      <c r="AP679" s="3"/>
      <c r="AQ679" s="3"/>
      <c r="AR679" s="3"/>
      <c r="AS679" s="3"/>
    </row>
    <row r="680" spans="1:45" ht="15">
      <c r="A680" s="66" t="s">
        <v>857</v>
      </c>
      <c r="B680" s="67"/>
      <c r="C680" s="67"/>
      <c r="D680" s="68"/>
      <c r="E680" s="70"/>
      <c r="F680" s="100" t="str">
        <f>HYPERLINK("https://i.ytimg.com/vi/MoqQ8IQumOo/default.jpg")</f>
        <v>https://i.ytimg.com/vi/MoqQ8IQumOo/default.jpg</v>
      </c>
      <c r="G680" s="67"/>
      <c r="H680" s="71"/>
      <c r="I680" s="72"/>
      <c r="J680" s="72"/>
      <c r="K680" s="71" t="s">
        <v>1911</v>
      </c>
      <c r="L680" s="75"/>
      <c r="M680" s="76">
        <v>1755.6090087890625</v>
      </c>
      <c r="N680" s="76">
        <v>1209.9102783203125</v>
      </c>
      <c r="O680" s="77"/>
      <c r="P680" s="78"/>
      <c r="Q680" s="78"/>
      <c r="R680" s="82"/>
      <c r="S680" s="82"/>
      <c r="T680" s="82"/>
      <c r="U680" s="82"/>
      <c r="V680" s="52"/>
      <c r="W680" s="52"/>
      <c r="X680" s="52"/>
      <c r="Y680" s="52"/>
      <c r="Z680" s="51"/>
      <c r="AA680" s="73">
        <v>680</v>
      </c>
      <c r="AB680" s="73"/>
      <c r="AC680" s="74"/>
      <c r="AD680" s="80" t="s">
        <v>1911</v>
      </c>
      <c r="AE680" s="80" t="s">
        <v>2855</v>
      </c>
      <c r="AF680" s="80"/>
      <c r="AG680" s="80" t="s">
        <v>4326</v>
      </c>
      <c r="AH680" s="80" t="s">
        <v>5233</v>
      </c>
      <c r="AI680" s="80">
        <v>2063</v>
      </c>
      <c r="AJ680" s="80">
        <v>0</v>
      </c>
      <c r="AK680" s="80">
        <v>9</v>
      </c>
      <c r="AL680" s="80">
        <v>0</v>
      </c>
      <c r="AM680" s="80" t="s">
        <v>5614</v>
      </c>
      <c r="AN680" s="102" t="str">
        <f>HYPERLINK("https://www.youtube.com/watch?v=MoqQ8IQumOo")</f>
        <v>https://www.youtube.com/watch?v=MoqQ8IQumOo</v>
      </c>
      <c r="AO680" s="2"/>
      <c r="AP680" s="3"/>
      <c r="AQ680" s="3"/>
      <c r="AR680" s="3"/>
      <c r="AS680" s="3"/>
    </row>
    <row r="681" spans="1:45" ht="15">
      <c r="A681" s="66" t="s">
        <v>858</v>
      </c>
      <c r="B681" s="67"/>
      <c r="C681" s="67"/>
      <c r="D681" s="68"/>
      <c r="E681" s="70"/>
      <c r="F681" s="100" t="str">
        <f>HYPERLINK("https://i.ytimg.com/vi/SW_esTMlu7w/default.jpg")</f>
        <v>https://i.ytimg.com/vi/SW_esTMlu7w/default.jpg</v>
      </c>
      <c r="G681" s="67"/>
      <c r="H681" s="71"/>
      <c r="I681" s="72"/>
      <c r="J681" s="72"/>
      <c r="K681" s="71" t="s">
        <v>1912</v>
      </c>
      <c r="L681" s="75"/>
      <c r="M681" s="76">
        <v>2076.310791015625</v>
      </c>
      <c r="N681" s="76">
        <v>911.1179809570312</v>
      </c>
      <c r="O681" s="77"/>
      <c r="P681" s="78"/>
      <c r="Q681" s="78"/>
      <c r="R681" s="82"/>
      <c r="S681" s="82"/>
      <c r="T681" s="82"/>
      <c r="U681" s="82"/>
      <c r="V681" s="52"/>
      <c r="W681" s="52"/>
      <c r="X681" s="52"/>
      <c r="Y681" s="52"/>
      <c r="Z681" s="51"/>
      <c r="AA681" s="73">
        <v>681</v>
      </c>
      <c r="AB681" s="73"/>
      <c r="AC681" s="74"/>
      <c r="AD681" s="80" t="s">
        <v>1912</v>
      </c>
      <c r="AE681" s="80"/>
      <c r="AF681" s="80" t="s">
        <v>3595</v>
      </c>
      <c r="AG681" s="80" t="s">
        <v>4327</v>
      </c>
      <c r="AH681" s="80" t="s">
        <v>5234</v>
      </c>
      <c r="AI681" s="80">
        <v>317810</v>
      </c>
      <c r="AJ681" s="80">
        <v>137</v>
      </c>
      <c r="AK681" s="80">
        <v>1593</v>
      </c>
      <c r="AL681" s="80">
        <v>121</v>
      </c>
      <c r="AM681" s="80" t="s">
        <v>5614</v>
      </c>
      <c r="AN681" s="102" t="str">
        <f>HYPERLINK("https://www.youtube.com/watch?v=SW_esTMlu7w")</f>
        <v>https://www.youtube.com/watch?v=SW_esTMlu7w</v>
      </c>
      <c r="AO681" s="2"/>
      <c r="AP681" s="3"/>
      <c r="AQ681" s="3"/>
      <c r="AR681" s="3"/>
      <c r="AS681" s="3"/>
    </row>
    <row r="682" spans="1:45" ht="15">
      <c r="A682" s="66" t="s">
        <v>859</v>
      </c>
      <c r="B682" s="67"/>
      <c r="C682" s="67"/>
      <c r="D682" s="68"/>
      <c r="E682" s="70"/>
      <c r="F682" s="100" t="str">
        <f>HYPERLINK("https://i.ytimg.com/vi/ewsF7l6d3Lw/default.jpg")</f>
        <v>https://i.ytimg.com/vi/ewsF7l6d3Lw/default.jpg</v>
      </c>
      <c r="G682" s="67"/>
      <c r="H682" s="71"/>
      <c r="I682" s="72"/>
      <c r="J682" s="72"/>
      <c r="K682" s="71" t="s">
        <v>1913</v>
      </c>
      <c r="L682" s="75"/>
      <c r="M682" s="76">
        <v>2867.557861328125</v>
      </c>
      <c r="N682" s="76">
        <v>305.20458984375</v>
      </c>
      <c r="O682" s="77"/>
      <c r="P682" s="78"/>
      <c r="Q682" s="78"/>
      <c r="R682" s="82"/>
      <c r="S682" s="82"/>
      <c r="T682" s="82"/>
      <c r="U682" s="82"/>
      <c r="V682" s="52"/>
      <c r="W682" s="52"/>
      <c r="X682" s="52"/>
      <c r="Y682" s="52"/>
      <c r="Z682" s="51"/>
      <c r="AA682" s="73">
        <v>682</v>
      </c>
      <c r="AB682" s="73"/>
      <c r="AC682" s="74"/>
      <c r="AD682" s="80" t="s">
        <v>1913</v>
      </c>
      <c r="AE682" s="80" t="s">
        <v>2856</v>
      </c>
      <c r="AF682" s="80" t="s">
        <v>3596</v>
      </c>
      <c r="AG682" s="80" t="s">
        <v>4328</v>
      </c>
      <c r="AH682" s="80" t="s">
        <v>5235</v>
      </c>
      <c r="AI682" s="80">
        <v>95788</v>
      </c>
      <c r="AJ682" s="80">
        <v>11</v>
      </c>
      <c r="AK682" s="80">
        <v>280</v>
      </c>
      <c r="AL682" s="80">
        <v>13</v>
      </c>
      <c r="AM682" s="80" t="s">
        <v>5614</v>
      </c>
      <c r="AN682" s="102" t="str">
        <f>HYPERLINK("https://www.youtube.com/watch?v=ewsF7l6d3Lw")</f>
        <v>https://www.youtube.com/watch?v=ewsF7l6d3Lw</v>
      </c>
      <c r="AO682" s="2"/>
      <c r="AP682" s="3"/>
      <c r="AQ682" s="3"/>
      <c r="AR682" s="3"/>
      <c r="AS682" s="3"/>
    </row>
    <row r="683" spans="1:45" ht="15">
      <c r="A683" s="66" t="s">
        <v>860</v>
      </c>
      <c r="B683" s="67"/>
      <c r="C683" s="67"/>
      <c r="D683" s="68"/>
      <c r="E683" s="70"/>
      <c r="F683" s="100" t="str">
        <f>HYPERLINK("https://i.ytimg.com/vi/th7BjxJkgeI/default.jpg")</f>
        <v>https://i.ytimg.com/vi/th7BjxJkgeI/default.jpg</v>
      </c>
      <c r="G683" s="67"/>
      <c r="H683" s="71"/>
      <c r="I683" s="72"/>
      <c r="J683" s="72"/>
      <c r="K683" s="71" t="s">
        <v>1914</v>
      </c>
      <c r="L683" s="75"/>
      <c r="M683" s="76">
        <v>2511.70166015625</v>
      </c>
      <c r="N683" s="76">
        <v>552.6417846679688</v>
      </c>
      <c r="O683" s="77"/>
      <c r="P683" s="78"/>
      <c r="Q683" s="78"/>
      <c r="R683" s="82"/>
      <c r="S683" s="82"/>
      <c r="T683" s="82"/>
      <c r="U683" s="82"/>
      <c r="V683" s="52"/>
      <c r="W683" s="52"/>
      <c r="X683" s="52"/>
      <c r="Y683" s="52"/>
      <c r="Z683" s="51"/>
      <c r="AA683" s="73">
        <v>683</v>
      </c>
      <c r="AB683" s="73"/>
      <c r="AC683" s="74"/>
      <c r="AD683" s="80" t="s">
        <v>1914</v>
      </c>
      <c r="AE683" s="80" t="s">
        <v>2614</v>
      </c>
      <c r="AF683" s="80" t="s">
        <v>3230</v>
      </c>
      <c r="AG683" s="80" t="s">
        <v>4092</v>
      </c>
      <c r="AH683" s="80" t="s">
        <v>5236</v>
      </c>
      <c r="AI683" s="80">
        <v>11697</v>
      </c>
      <c r="AJ683" s="80">
        <v>2</v>
      </c>
      <c r="AK683" s="80">
        <v>20</v>
      </c>
      <c r="AL683" s="80">
        <v>2</v>
      </c>
      <c r="AM683" s="80" t="s">
        <v>5614</v>
      </c>
      <c r="AN683" s="102" t="str">
        <f>HYPERLINK("https://www.youtube.com/watch?v=th7BjxJkgeI")</f>
        <v>https://www.youtube.com/watch?v=th7BjxJkgeI</v>
      </c>
      <c r="AO683" s="2"/>
      <c r="AP683" s="3"/>
      <c r="AQ683" s="3"/>
      <c r="AR683" s="3"/>
      <c r="AS683" s="3"/>
    </row>
    <row r="684" spans="1:45" ht="15">
      <c r="A684" s="66" t="s">
        <v>861</v>
      </c>
      <c r="B684" s="67"/>
      <c r="C684" s="67"/>
      <c r="D684" s="68"/>
      <c r="E684" s="70"/>
      <c r="F684" s="100" t="str">
        <f>HYPERLINK("https://i.ytimg.com/vi/Wk-Ia0sqYzI/default.jpg")</f>
        <v>https://i.ytimg.com/vi/Wk-Ia0sqYzI/default.jpg</v>
      </c>
      <c r="G684" s="67"/>
      <c r="H684" s="71"/>
      <c r="I684" s="72"/>
      <c r="J684" s="72"/>
      <c r="K684" s="71" t="s">
        <v>1915</v>
      </c>
      <c r="L684" s="75"/>
      <c r="M684" s="76">
        <v>2127.173095703125</v>
      </c>
      <c r="N684" s="76">
        <v>863.723876953125</v>
      </c>
      <c r="O684" s="77"/>
      <c r="P684" s="78"/>
      <c r="Q684" s="78"/>
      <c r="R684" s="82"/>
      <c r="S684" s="82"/>
      <c r="T684" s="82"/>
      <c r="U684" s="82"/>
      <c r="V684" s="52"/>
      <c r="W684" s="52"/>
      <c r="X684" s="52"/>
      <c r="Y684" s="52"/>
      <c r="Z684" s="51"/>
      <c r="AA684" s="73">
        <v>684</v>
      </c>
      <c r="AB684" s="73"/>
      <c r="AC684" s="74"/>
      <c r="AD684" s="80" t="s">
        <v>1915</v>
      </c>
      <c r="AE684" s="80" t="s">
        <v>2614</v>
      </c>
      <c r="AF684" s="80" t="s">
        <v>3230</v>
      </c>
      <c r="AG684" s="80" t="s">
        <v>4329</v>
      </c>
      <c r="AH684" s="80" t="s">
        <v>5237</v>
      </c>
      <c r="AI684" s="80">
        <v>28037</v>
      </c>
      <c r="AJ684" s="80">
        <v>4</v>
      </c>
      <c r="AK684" s="80">
        <v>174</v>
      </c>
      <c r="AL684" s="80">
        <v>15</v>
      </c>
      <c r="AM684" s="80" t="s">
        <v>5614</v>
      </c>
      <c r="AN684" s="102" t="str">
        <f>HYPERLINK("https://www.youtube.com/watch?v=Wk-Ia0sqYzI")</f>
        <v>https://www.youtube.com/watch?v=Wk-Ia0sqYzI</v>
      </c>
      <c r="AO684" s="2"/>
      <c r="AP684" s="3"/>
      <c r="AQ684" s="3"/>
      <c r="AR684" s="3"/>
      <c r="AS684" s="3"/>
    </row>
    <row r="685" spans="1:45" ht="15">
      <c r="A685" s="66" t="s">
        <v>862</v>
      </c>
      <c r="B685" s="67"/>
      <c r="C685" s="67"/>
      <c r="D685" s="68"/>
      <c r="E685" s="70"/>
      <c r="F685" s="100" t="str">
        <f>HYPERLINK("https://i.ytimg.com/vi/v9EKV2nSU8w/default.jpg")</f>
        <v>https://i.ytimg.com/vi/v9EKV2nSU8w/default.jpg</v>
      </c>
      <c r="G685" s="67"/>
      <c r="H685" s="71"/>
      <c r="I685" s="72"/>
      <c r="J685" s="72"/>
      <c r="K685" s="71" t="s">
        <v>1916</v>
      </c>
      <c r="L685" s="75"/>
      <c r="M685" s="76">
        <v>2964.531494140625</v>
      </c>
      <c r="N685" s="76">
        <v>254.7835693359375</v>
      </c>
      <c r="O685" s="77"/>
      <c r="P685" s="78"/>
      <c r="Q685" s="78"/>
      <c r="R685" s="82"/>
      <c r="S685" s="82"/>
      <c r="T685" s="82"/>
      <c r="U685" s="82"/>
      <c r="V685" s="52"/>
      <c r="W685" s="52"/>
      <c r="X685" s="52"/>
      <c r="Y685" s="52"/>
      <c r="Z685" s="51"/>
      <c r="AA685" s="73">
        <v>685</v>
      </c>
      <c r="AB685" s="73"/>
      <c r="AC685" s="74"/>
      <c r="AD685" s="80" t="s">
        <v>1916</v>
      </c>
      <c r="AE685" s="80" t="s">
        <v>2857</v>
      </c>
      <c r="AF685" s="80" t="s">
        <v>3597</v>
      </c>
      <c r="AG685" s="80" t="s">
        <v>4219</v>
      </c>
      <c r="AH685" s="80" t="s">
        <v>5238</v>
      </c>
      <c r="AI685" s="80">
        <v>4692750</v>
      </c>
      <c r="AJ685" s="80">
        <v>26227</v>
      </c>
      <c r="AK685" s="80">
        <v>191488</v>
      </c>
      <c r="AL685" s="80">
        <v>5617</v>
      </c>
      <c r="AM685" s="80" t="s">
        <v>5614</v>
      </c>
      <c r="AN685" s="102" t="str">
        <f>HYPERLINK("https://www.youtube.com/watch?v=v9EKV2nSU8w")</f>
        <v>https://www.youtube.com/watch?v=v9EKV2nSU8w</v>
      </c>
      <c r="AO685" s="2"/>
      <c r="AP685" s="3"/>
      <c r="AQ685" s="3"/>
      <c r="AR685" s="3"/>
      <c r="AS685" s="3"/>
    </row>
    <row r="686" spans="1:45" ht="15">
      <c r="A686" s="66" t="s">
        <v>863</v>
      </c>
      <c r="B686" s="67"/>
      <c r="C686" s="67"/>
      <c r="D686" s="68"/>
      <c r="E686" s="70"/>
      <c r="F686" s="100" t="str">
        <f>HYPERLINK("https://i.ytimg.com/vi/ajKefIfIuoY/default.jpg")</f>
        <v>https://i.ytimg.com/vi/ajKefIfIuoY/default.jpg</v>
      </c>
      <c r="G686" s="67"/>
      <c r="H686" s="71"/>
      <c r="I686" s="72"/>
      <c r="J686" s="72"/>
      <c r="K686" s="71" t="s">
        <v>1917</v>
      </c>
      <c r="L686" s="75"/>
      <c r="M686" s="76">
        <v>1785.83056640625</v>
      </c>
      <c r="N686" s="76">
        <v>1207.24365234375</v>
      </c>
      <c r="O686" s="77"/>
      <c r="P686" s="78"/>
      <c r="Q686" s="78"/>
      <c r="R686" s="82"/>
      <c r="S686" s="82"/>
      <c r="T686" s="82"/>
      <c r="U686" s="82"/>
      <c r="V686" s="52"/>
      <c r="W686" s="52"/>
      <c r="X686" s="52"/>
      <c r="Y686" s="52"/>
      <c r="Z686" s="51"/>
      <c r="AA686" s="73">
        <v>686</v>
      </c>
      <c r="AB686" s="73"/>
      <c r="AC686" s="74"/>
      <c r="AD686" s="80" t="s">
        <v>1917</v>
      </c>
      <c r="AE686" s="80" t="s">
        <v>2614</v>
      </c>
      <c r="AF686" s="80" t="s">
        <v>3230</v>
      </c>
      <c r="AG686" s="80" t="s">
        <v>4330</v>
      </c>
      <c r="AH686" s="80" t="s">
        <v>5239</v>
      </c>
      <c r="AI686" s="80">
        <v>1303</v>
      </c>
      <c r="AJ686" s="80">
        <v>0</v>
      </c>
      <c r="AK686" s="80">
        <v>5</v>
      </c>
      <c r="AL686" s="80">
        <v>0</v>
      </c>
      <c r="AM686" s="80" t="s">
        <v>5614</v>
      </c>
      <c r="AN686" s="102" t="str">
        <f>HYPERLINK("https://www.youtube.com/watch?v=ajKefIfIuoY")</f>
        <v>https://www.youtube.com/watch?v=ajKefIfIuoY</v>
      </c>
      <c r="AO686" s="2"/>
      <c r="AP686" s="3"/>
      <c r="AQ686" s="3"/>
      <c r="AR686" s="3"/>
      <c r="AS686" s="3"/>
    </row>
    <row r="687" spans="1:45" ht="15">
      <c r="A687" s="66" t="s">
        <v>864</v>
      </c>
      <c r="B687" s="67"/>
      <c r="C687" s="67"/>
      <c r="D687" s="68"/>
      <c r="E687" s="70"/>
      <c r="F687" s="100" t="str">
        <f>HYPERLINK("https://i.ytimg.com/vi/uwTtC0phJPs/default.jpg")</f>
        <v>https://i.ytimg.com/vi/uwTtC0phJPs/default.jpg</v>
      </c>
      <c r="G687" s="67"/>
      <c r="H687" s="71"/>
      <c r="I687" s="72"/>
      <c r="J687" s="72"/>
      <c r="K687" s="71" t="s">
        <v>1918</v>
      </c>
      <c r="L687" s="75"/>
      <c r="M687" s="76">
        <v>3074.32080078125</v>
      </c>
      <c r="N687" s="76">
        <v>184.55271911621094</v>
      </c>
      <c r="O687" s="77"/>
      <c r="P687" s="78"/>
      <c r="Q687" s="78"/>
      <c r="R687" s="82"/>
      <c r="S687" s="82"/>
      <c r="T687" s="82"/>
      <c r="U687" s="82"/>
      <c r="V687" s="52"/>
      <c r="W687" s="52"/>
      <c r="X687" s="52"/>
      <c r="Y687" s="52"/>
      <c r="Z687" s="51"/>
      <c r="AA687" s="73">
        <v>687</v>
      </c>
      <c r="AB687" s="73"/>
      <c r="AC687" s="74"/>
      <c r="AD687" s="80" t="s">
        <v>1918</v>
      </c>
      <c r="AE687" s="80" t="s">
        <v>2858</v>
      </c>
      <c r="AF687" s="80" t="s">
        <v>3230</v>
      </c>
      <c r="AG687" s="80" t="s">
        <v>4331</v>
      </c>
      <c r="AH687" s="80" t="s">
        <v>5240</v>
      </c>
      <c r="AI687" s="80">
        <v>28087</v>
      </c>
      <c r="AJ687" s="80">
        <v>7</v>
      </c>
      <c r="AK687" s="80">
        <v>138</v>
      </c>
      <c r="AL687" s="80">
        <v>6</v>
      </c>
      <c r="AM687" s="80" t="s">
        <v>5614</v>
      </c>
      <c r="AN687" s="102" t="str">
        <f>HYPERLINK("https://www.youtube.com/watch?v=uwTtC0phJPs")</f>
        <v>https://www.youtube.com/watch?v=uwTtC0phJPs</v>
      </c>
      <c r="AO687" s="2"/>
      <c r="AP687" s="3"/>
      <c r="AQ687" s="3"/>
      <c r="AR687" s="3"/>
      <c r="AS687" s="3"/>
    </row>
    <row r="688" spans="1:45" ht="15">
      <c r="A688" s="66" t="s">
        <v>865</v>
      </c>
      <c r="B688" s="67"/>
      <c r="C688" s="67"/>
      <c r="D688" s="68"/>
      <c r="E688" s="70"/>
      <c r="F688" s="100" t="str">
        <f>HYPERLINK("https://i.ytimg.com/vi/5MgBikgcWnY/default.jpg")</f>
        <v>https://i.ytimg.com/vi/5MgBikgcWnY/default.jpg</v>
      </c>
      <c r="G688" s="67"/>
      <c r="H688" s="71"/>
      <c r="I688" s="72"/>
      <c r="J688" s="72"/>
      <c r="K688" s="71" t="s">
        <v>1919</v>
      </c>
      <c r="L688" s="75"/>
      <c r="M688" s="76">
        <v>2561.73388671875</v>
      </c>
      <c r="N688" s="76">
        <v>530.65185546875</v>
      </c>
      <c r="O688" s="77"/>
      <c r="P688" s="78"/>
      <c r="Q688" s="78"/>
      <c r="R688" s="82"/>
      <c r="S688" s="82"/>
      <c r="T688" s="82"/>
      <c r="U688" s="82"/>
      <c r="V688" s="52"/>
      <c r="W688" s="52"/>
      <c r="X688" s="52"/>
      <c r="Y688" s="52"/>
      <c r="Z688" s="51"/>
      <c r="AA688" s="73">
        <v>688</v>
      </c>
      <c r="AB688" s="73"/>
      <c r="AC688" s="74"/>
      <c r="AD688" s="80" t="s">
        <v>1919</v>
      </c>
      <c r="AE688" s="80" t="s">
        <v>2859</v>
      </c>
      <c r="AF688" s="80" t="s">
        <v>3598</v>
      </c>
      <c r="AG688" s="80" t="s">
        <v>3884</v>
      </c>
      <c r="AH688" s="80" t="s">
        <v>5241</v>
      </c>
      <c r="AI688" s="80">
        <v>27374565</v>
      </c>
      <c r="AJ688" s="80">
        <v>13936</v>
      </c>
      <c r="AK688" s="80">
        <v>614731</v>
      </c>
      <c r="AL688" s="80">
        <v>12586</v>
      </c>
      <c r="AM688" s="80" t="s">
        <v>5614</v>
      </c>
      <c r="AN688" s="102" t="str">
        <f>HYPERLINK("https://www.youtube.com/watch?v=5MgBikgcWnY")</f>
        <v>https://www.youtube.com/watch?v=5MgBikgcWnY</v>
      </c>
      <c r="AO688" s="2"/>
      <c r="AP688" s="3"/>
      <c r="AQ688" s="3"/>
      <c r="AR688" s="3"/>
      <c r="AS688" s="3"/>
    </row>
    <row r="689" spans="1:45" ht="15">
      <c r="A689" s="66" t="s">
        <v>866</v>
      </c>
      <c r="B689" s="67"/>
      <c r="C689" s="67"/>
      <c r="D689" s="68"/>
      <c r="E689" s="70"/>
      <c r="F689" s="100" t="str">
        <f>HYPERLINK("https://i.ytimg.com/vi/Ee-mw0RC7fY/default.jpg")</f>
        <v>https://i.ytimg.com/vi/Ee-mw0RC7fY/default.jpg</v>
      </c>
      <c r="G689" s="67"/>
      <c r="H689" s="71"/>
      <c r="I689" s="72"/>
      <c r="J689" s="72"/>
      <c r="K689" s="71" t="s">
        <v>1920</v>
      </c>
      <c r="L689" s="75"/>
      <c r="M689" s="76">
        <v>3333.11376953125</v>
      </c>
      <c r="N689" s="76">
        <v>5595.5078125</v>
      </c>
      <c r="O689" s="77"/>
      <c r="P689" s="78"/>
      <c r="Q689" s="78"/>
      <c r="R689" s="82"/>
      <c r="S689" s="82"/>
      <c r="T689" s="82"/>
      <c r="U689" s="82"/>
      <c r="V689" s="52"/>
      <c r="W689" s="52"/>
      <c r="X689" s="52"/>
      <c r="Y689" s="52"/>
      <c r="Z689" s="51"/>
      <c r="AA689" s="73">
        <v>689</v>
      </c>
      <c r="AB689" s="73"/>
      <c r="AC689" s="74"/>
      <c r="AD689" s="80" t="s">
        <v>1920</v>
      </c>
      <c r="AE689" s="80" t="s">
        <v>2860</v>
      </c>
      <c r="AF689" s="80" t="s">
        <v>3599</v>
      </c>
      <c r="AG689" s="80" t="s">
        <v>4332</v>
      </c>
      <c r="AH689" s="80" t="s">
        <v>5242</v>
      </c>
      <c r="AI689" s="80">
        <v>622853</v>
      </c>
      <c r="AJ689" s="80">
        <v>174</v>
      </c>
      <c r="AK689" s="80">
        <v>4283</v>
      </c>
      <c r="AL689" s="80">
        <v>547</v>
      </c>
      <c r="AM689" s="80" t="s">
        <v>5614</v>
      </c>
      <c r="AN689" s="102" t="str">
        <f>HYPERLINK("https://www.youtube.com/watch?v=Ee-mw0RC7fY")</f>
        <v>https://www.youtube.com/watch?v=Ee-mw0RC7fY</v>
      </c>
      <c r="AO689" s="2"/>
      <c r="AP689" s="3"/>
      <c r="AQ689" s="3"/>
      <c r="AR689" s="3"/>
      <c r="AS689" s="3"/>
    </row>
    <row r="690" spans="1:45" ht="15">
      <c r="A690" s="66" t="s">
        <v>867</v>
      </c>
      <c r="B690" s="67"/>
      <c r="C690" s="67"/>
      <c r="D690" s="68"/>
      <c r="E690" s="70"/>
      <c r="F690" s="100" t="str">
        <f>HYPERLINK("https://i.ytimg.com/vi/dOjkc8UNNEI/default.jpg")</f>
        <v>https://i.ytimg.com/vi/dOjkc8UNNEI/default.jpg</v>
      </c>
      <c r="G690" s="67"/>
      <c r="H690" s="71"/>
      <c r="I690" s="72"/>
      <c r="J690" s="72"/>
      <c r="K690" s="71" t="s">
        <v>1921</v>
      </c>
      <c r="L690" s="75"/>
      <c r="M690" s="76">
        <v>6769.294921875</v>
      </c>
      <c r="N690" s="76">
        <v>2649.463623046875</v>
      </c>
      <c r="O690" s="77"/>
      <c r="P690" s="78"/>
      <c r="Q690" s="78"/>
      <c r="R690" s="82"/>
      <c r="S690" s="82"/>
      <c r="T690" s="82"/>
      <c r="U690" s="82"/>
      <c r="V690" s="52"/>
      <c r="W690" s="52"/>
      <c r="X690" s="52"/>
      <c r="Y690" s="52"/>
      <c r="Z690" s="51"/>
      <c r="AA690" s="73">
        <v>690</v>
      </c>
      <c r="AB690" s="73"/>
      <c r="AC690" s="74"/>
      <c r="AD690" s="80" t="s">
        <v>1921</v>
      </c>
      <c r="AE690" s="80" t="s">
        <v>2861</v>
      </c>
      <c r="AF690" s="80"/>
      <c r="AG690" s="80" t="s">
        <v>4333</v>
      </c>
      <c r="AH690" s="80" t="s">
        <v>5243</v>
      </c>
      <c r="AI690" s="80">
        <v>25083</v>
      </c>
      <c r="AJ690" s="80">
        <v>87</v>
      </c>
      <c r="AK690" s="80">
        <v>492</v>
      </c>
      <c r="AL690" s="80">
        <v>18</v>
      </c>
      <c r="AM690" s="80" t="s">
        <v>5614</v>
      </c>
      <c r="AN690" s="102" t="str">
        <f>HYPERLINK("https://www.youtube.com/watch?v=dOjkc8UNNEI")</f>
        <v>https://www.youtube.com/watch?v=dOjkc8UNNEI</v>
      </c>
      <c r="AO690" s="2"/>
      <c r="AP690" s="3"/>
      <c r="AQ690" s="3"/>
      <c r="AR690" s="3"/>
      <c r="AS690" s="3"/>
    </row>
    <row r="691" spans="1:45" ht="15">
      <c r="A691" s="66" t="s">
        <v>868</v>
      </c>
      <c r="B691" s="67"/>
      <c r="C691" s="67"/>
      <c r="D691" s="68"/>
      <c r="E691" s="70"/>
      <c r="F691" s="100" t="str">
        <f>HYPERLINK("https://i.ytimg.com/vi/Ld2LJfzo9Rw/default.jpg")</f>
        <v>https://i.ytimg.com/vi/Ld2LJfzo9Rw/default.jpg</v>
      </c>
      <c r="G691" s="67"/>
      <c r="H691" s="71"/>
      <c r="I691" s="72"/>
      <c r="J691" s="72"/>
      <c r="K691" s="71" t="s">
        <v>1922</v>
      </c>
      <c r="L691" s="75"/>
      <c r="M691" s="76">
        <v>2983.5126953125</v>
      </c>
      <c r="N691" s="76">
        <v>5318.8447265625</v>
      </c>
      <c r="O691" s="77"/>
      <c r="P691" s="78"/>
      <c r="Q691" s="78"/>
      <c r="R691" s="82"/>
      <c r="S691" s="82"/>
      <c r="T691" s="82"/>
      <c r="U691" s="82"/>
      <c r="V691" s="52"/>
      <c r="W691" s="52"/>
      <c r="X691" s="52"/>
      <c r="Y691" s="52"/>
      <c r="Z691" s="51"/>
      <c r="AA691" s="73">
        <v>691</v>
      </c>
      <c r="AB691" s="73"/>
      <c r="AC691" s="74"/>
      <c r="AD691" s="80" t="s">
        <v>1922</v>
      </c>
      <c r="AE691" s="80" t="s">
        <v>2738</v>
      </c>
      <c r="AF691" s="80"/>
      <c r="AG691" s="80" t="s">
        <v>4227</v>
      </c>
      <c r="AH691" s="80" t="s">
        <v>5244</v>
      </c>
      <c r="AI691" s="80">
        <v>42197</v>
      </c>
      <c r="AJ691" s="80">
        <v>153</v>
      </c>
      <c r="AK691" s="80">
        <v>1310</v>
      </c>
      <c r="AL691" s="80">
        <v>209</v>
      </c>
      <c r="AM691" s="80" t="s">
        <v>5614</v>
      </c>
      <c r="AN691" s="102" t="str">
        <f>HYPERLINK("https://www.youtube.com/watch?v=Ld2LJfzo9Rw")</f>
        <v>https://www.youtube.com/watch?v=Ld2LJfzo9Rw</v>
      </c>
      <c r="AO691" s="2"/>
      <c r="AP691" s="3"/>
      <c r="AQ691" s="3"/>
      <c r="AR691" s="3"/>
      <c r="AS691" s="3"/>
    </row>
    <row r="692" spans="1:45" ht="15">
      <c r="A692" s="66" t="s">
        <v>869</v>
      </c>
      <c r="B692" s="67"/>
      <c r="C692" s="67"/>
      <c r="D692" s="68"/>
      <c r="E692" s="70"/>
      <c r="F692" s="100" t="str">
        <f>HYPERLINK("https://i.ytimg.com/vi/8bOUWMWmdC4/default.jpg")</f>
        <v>https://i.ytimg.com/vi/8bOUWMWmdC4/default.jpg</v>
      </c>
      <c r="G692" s="67"/>
      <c r="H692" s="71"/>
      <c r="I692" s="72"/>
      <c r="J692" s="72"/>
      <c r="K692" s="71" t="s">
        <v>1923</v>
      </c>
      <c r="L692" s="75"/>
      <c r="M692" s="76">
        <v>3244.6162109375</v>
      </c>
      <c r="N692" s="76">
        <v>5403.5546875</v>
      </c>
      <c r="O692" s="77"/>
      <c r="P692" s="78"/>
      <c r="Q692" s="78"/>
      <c r="R692" s="82"/>
      <c r="S692" s="82"/>
      <c r="T692" s="82"/>
      <c r="U692" s="82"/>
      <c r="V692" s="52"/>
      <c r="W692" s="52"/>
      <c r="X692" s="52"/>
      <c r="Y692" s="52"/>
      <c r="Z692" s="51"/>
      <c r="AA692" s="73">
        <v>692</v>
      </c>
      <c r="AB692" s="73"/>
      <c r="AC692" s="74"/>
      <c r="AD692" s="80" t="s">
        <v>1923</v>
      </c>
      <c r="AE692" s="80" t="s">
        <v>2862</v>
      </c>
      <c r="AF692" s="80" t="s">
        <v>3600</v>
      </c>
      <c r="AG692" s="80" t="s">
        <v>4334</v>
      </c>
      <c r="AH692" s="80" t="s">
        <v>5245</v>
      </c>
      <c r="AI692" s="80">
        <v>28397</v>
      </c>
      <c r="AJ692" s="80">
        <v>98</v>
      </c>
      <c r="AK692" s="80">
        <v>301</v>
      </c>
      <c r="AL692" s="80">
        <v>60</v>
      </c>
      <c r="AM692" s="80" t="s">
        <v>5614</v>
      </c>
      <c r="AN692" s="102" t="str">
        <f>HYPERLINK("https://www.youtube.com/watch?v=8bOUWMWmdC4")</f>
        <v>https://www.youtube.com/watch?v=8bOUWMWmdC4</v>
      </c>
      <c r="AO692" s="2"/>
      <c r="AP692" s="3"/>
      <c r="AQ692" s="3"/>
      <c r="AR692" s="3"/>
      <c r="AS692" s="3"/>
    </row>
    <row r="693" spans="1:45" ht="15">
      <c r="A693" s="66" t="s">
        <v>870</v>
      </c>
      <c r="B693" s="67"/>
      <c r="C693" s="67"/>
      <c r="D693" s="68"/>
      <c r="E693" s="70"/>
      <c r="F693" s="100" t="str">
        <f>HYPERLINK("https://i.ytimg.com/vi/64iGmF1zejw/default.jpg")</f>
        <v>https://i.ytimg.com/vi/64iGmF1zejw/default.jpg</v>
      </c>
      <c r="G693" s="67"/>
      <c r="H693" s="71"/>
      <c r="I693" s="72"/>
      <c r="J693" s="72"/>
      <c r="K693" s="71" t="s">
        <v>1924</v>
      </c>
      <c r="L693" s="75"/>
      <c r="M693" s="76">
        <v>3276.945556640625</v>
      </c>
      <c r="N693" s="76">
        <v>5672.4267578125</v>
      </c>
      <c r="O693" s="77"/>
      <c r="P693" s="78"/>
      <c r="Q693" s="78"/>
      <c r="R693" s="82"/>
      <c r="S693" s="82"/>
      <c r="T693" s="82"/>
      <c r="U693" s="82"/>
      <c r="V693" s="52"/>
      <c r="W693" s="52"/>
      <c r="X693" s="52"/>
      <c r="Y693" s="52"/>
      <c r="Z693" s="51"/>
      <c r="AA693" s="73">
        <v>693</v>
      </c>
      <c r="AB693" s="73"/>
      <c r="AC693" s="74"/>
      <c r="AD693" s="80" t="s">
        <v>1924</v>
      </c>
      <c r="AE693" s="80" t="s">
        <v>2863</v>
      </c>
      <c r="AF693" s="80" t="s">
        <v>3601</v>
      </c>
      <c r="AG693" s="80" t="s">
        <v>4335</v>
      </c>
      <c r="AH693" s="80" t="s">
        <v>5246</v>
      </c>
      <c r="AI693" s="80">
        <v>204499</v>
      </c>
      <c r="AJ693" s="80">
        <v>0</v>
      </c>
      <c r="AK693" s="80">
        <v>2112</v>
      </c>
      <c r="AL693" s="80">
        <v>390</v>
      </c>
      <c r="AM693" s="80" t="s">
        <v>5614</v>
      </c>
      <c r="AN693" s="102" t="str">
        <f>HYPERLINK("https://www.youtube.com/watch?v=64iGmF1zejw")</f>
        <v>https://www.youtube.com/watch?v=64iGmF1zejw</v>
      </c>
      <c r="AO693" s="2"/>
      <c r="AP693" s="3"/>
      <c r="AQ693" s="3"/>
      <c r="AR693" s="3"/>
      <c r="AS693" s="3"/>
    </row>
    <row r="694" spans="1:45" ht="15">
      <c r="A694" s="66" t="s">
        <v>871</v>
      </c>
      <c r="B694" s="67"/>
      <c r="C694" s="67"/>
      <c r="D694" s="68"/>
      <c r="E694" s="70"/>
      <c r="F694" s="100" t="str">
        <f>HYPERLINK("https://i.ytimg.com/vi/P2gSJ61v4MA/default.jpg")</f>
        <v>https://i.ytimg.com/vi/P2gSJ61v4MA/default.jpg</v>
      </c>
      <c r="G694" s="67"/>
      <c r="H694" s="71"/>
      <c r="I694" s="72"/>
      <c r="J694" s="72"/>
      <c r="K694" s="71" t="s">
        <v>1925</v>
      </c>
      <c r="L694" s="75"/>
      <c r="M694" s="76">
        <v>3048.682373046875</v>
      </c>
      <c r="N694" s="76">
        <v>5303.01708984375</v>
      </c>
      <c r="O694" s="77"/>
      <c r="P694" s="78"/>
      <c r="Q694" s="78"/>
      <c r="R694" s="82"/>
      <c r="S694" s="82"/>
      <c r="T694" s="82"/>
      <c r="U694" s="82"/>
      <c r="V694" s="52"/>
      <c r="W694" s="52"/>
      <c r="X694" s="52"/>
      <c r="Y694" s="52"/>
      <c r="Z694" s="51"/>
      <c r="AA694" s="73">
        <v>694</v>
      </c>
      <c r="AB694" s="73"/>
      <c r="AC694" s="74"/>
      <c r="AD694" s="80" t="s">
        <v>1925</v>
      </c>
      <c r="AE694" s="80" t="s">
        <v>2864</v>
      </c>
      <c r="AF694" s="80" t="s">
        <v>3602</v>
      </c>
      <c r="AG694" s="80" t="s">
        <v>4336</v>
      </c>
      <c r="AH694" s="80" t="s">
        <v>5247</v>
      </c>
      <c r="AI694" s="80">
        <v>165676</v>
      </c>
      <c r="AJ694" s="80">
        <v>124</v>
      </c>
      <c r="AK694" s="80">
        <v>2656</v>
      </c>
      <c r="AL694" s="80">
        <v>108</v>
      </c>
      <c r="AM694" s="80" t="s">
        <v>5614</v>
      </c>
      <c r="AN694" s="102" t="str">
        <f>HYPERLINK("https://www.youtube.com/watch?v=P2gSJ61v4MA")</f>
        <v>https://www.youtube.com/watch?v=P2gSJ61v4MA</v>
      </c>
      <c r="AO694" s="2"/>
      <c r="AP694" s="3"/>
      <c r="AQ694" s="3"/>
      <c r="AR694" s="3"/>
      <c r="AS694" s="3"/>
    </row>
    <row r="695" spans="1:45" ht="15">
      <c r="A695" s="66" t="s">
        <v>872</v>
      </c>
      <c r="B695" s="67"/>
      <c r="C695" s="67"/>
      <c r="D695" s="68"/>
      <c r="E695" s="70"/>
      <c r="F695" s="100" t="str">
        <f>HYPERLINK("https://i.ytimg.com/vi/xNQU0wZf-NA/default.jpg")</f>
        <v>https://i.ytimg.com/vi/xNQU0wZf-NA/default.jpg</v>
      </c>
      <c r="G695" s="67"/>
      <c r="H695" s="71"/>
      <c r="I695" s="72"/>
      <c r="J695" s="72"/>
      <c r="K695" s="71" t="s">
        <v>1926</v>
      </c>
      <c r="L695" s="75"/>
      <c r="M695" s="76">
        <v>3055.29296875</v>
      </c>
      <c r="N695" s="76">
        <v>5198.93701171875</v>
      </c>
      <c r="O695" s="77"/>
      <c r="P695" s="78"/>
      <c r="Q695" s="78"/>
      <c r="R695" s="82"/>
      <c r="S695" s="82"/>
      <c r="T695" s="82"/>
      <c r="U695" s="82"/>
      <c r="V695" s="52"/>
      <c r="W695" s="52"/>
      <c r="X695" s="52"/>
      <c r="Y695" s="52"/>
      <c r="Z695" s="51"/>
      <c r="AA695" s="73">
        <v>695</v>
      </c>
      <c r="AB695" s="73"/>
      <c r="AC695" s="74"/>
      <c r="AD695" s="80" t="s">
        <v>1926</v>
      </c>
      <c r="AE695" s="80" t="s">
        <v>2865</v>
      </c>
      <c r="AF695" s="80" t="s">
        <v>3603</v>
      </c>
      <c r="AG695" s="80" t="s">
        <v>4017</v>
      </c>
      <c r="AH695" s="80" t="s">
        <v>5248</v>
      </c>
      <c r="AI695" s="80">
        <v>5506</v>
      </c>
      <c r="AJ695" s="80">
        <v>0</v>
      </c>
      <c r="AK695" s="80">
        <v>24</v>
      </c>
      <c r="AL695" s="80">
        <v>6</v>
      </c>
      <c r="AM695" s="80" t="s">
        <v>5614</v>
      </c>
      <c r="AN695" s="102" t="str">
        <f>HYPERLINK("https://www.youtube.com/watch?v=xNQU0wZf-NA")</f>
        <v>https://www.youtube.com/watch?v=xNQU0wZf-NA</v>
      </c>
      <c r="AO695" s="2"/>
      <c r="AP695" s="3"/>
      <c r="AQ695" s="3"/>
      <c r="AR695" s="3"/>
      <c r="AS695" s="3"/>
    </row>
    <row r="696" spans="1:45" ht="15">
      <c r="A696" s="66" t="s">
        <v>873</v>
      </c>
      <c r="B696" s="67"/>
      <c r="C696" s="67"/>
      <c r="D696" s="68"/>
      <c r="E696" s="70"/>
      <c r="F696" s="100" t="str">
        <f>HYPERLINK("https://i.ytimg.com/vi/lo6x4eulY9g/default.jpg")</f>
        <v>https://i.ytimg.com/vi/lo6x4eulY9g/default.jpg</v>
      </c>
      <c r="G696" s="67"/>
      <c r="H696" s="71"/>
      <c r="I696" s="72"/>
      <c r="J696" s="72"/>
      <c r="K696" s="71" t="s">
        <v>1927</v>
      </c>
      <c r="L696" s="75"/>
      <c r="M696" s="76">
        <v>3102.2333984375</v>
      </c>
      <c r="N696" s="76">
        <v>5227.18798828125</v>
      </c>
      <c r="O696" s="77"/>
      <c r="P696" s="78"/>
      <c r="Q696" s="78"/>
      <c r="R696" s="82"/>
      <c r="S696" s="82"/>
      <c r="T696" s="82"/>
      <c r="U696" s="82"/>
      <c r="V696" s="52"/>
      <c r="W696" s="52"/>
      <c r="X696" s="52"/>
      <c r="Y696" s="52"/>
      <c r="Z696" s="51"/>
      <c r="AA696" s="73">
        <v>696</v>
      </c>
      <c r="AB696" s="73"/>
      <c r="AC696" s="74"/>
      <c r="AD696" s="80" t="s">
        <v>1927</v>
      </c>
      <c r="AE696" s="80" t="s">
        <v>2866</v>
      </c>
      <c r="AF696" s="80" t="s">
        <v>3604</v>
      </c>
      <c r="AG696" s="80" t="s">
        <v>4337</v>
      </c>
      <c r="AH696" s="80" t="s">
        <v>5249</v>
      </c>
      <c r="AI696" s="80">
        <v>121497541</v>
      </c>
      <c r="AJ696" s="80">
        <v>33414</v>
      </c>
      <c r="AK696" s="80">
        <v>1612732</v>
      </c>
      <c r="AL696" s="80">
        <v>57604</v>
      </c>
      <c r="AM696" s="80" t="s">
        <v>5614</v>
      </c>
      <c r="AN696" s="102" t="str">
        <f>HYPERLINK("https://www.youtube.com/watch?v=lo6x4eulY9g")</f>
        <v>https://www.youtube.com/watch?v=lo6x4eulY9g</v>
      </c>
      <c r="AO696" s="2"/>
      <c r="AP696" s="3"/>
      <c r="AQ696" s="3"/>
      <c r="AR696" s="3"/>
      <c r="AS696" s="3"/>
    </row>
    <row r="697" spans="1:45" ht="15">
      <c r="A697" s="66" t="s">
        <v>874</v>
      </c>
      <c r="B697" s="67"/>
      <c r="C697" s="67"/>
      <c r="D697" s="68"/>
      <c r="E697" s="70"/>
      <c r="F697" s="100" t="str">
        <f>HYPERLINK("https://i.ytimg.com/vi/IXtDChNB3gc/default.jpg")</f>
        <v>https://i.ytimg.com/vi/IXtDChNB3gc/default.jpg</v>
      </c>
      <c r="G697" s="67"/>
      <c r="H697" s="71"/>
      <c r="I697" s="72"/>
      <c r="J697" s="72"/>
      <c r="K697" s="71" t="s">
        <v>1928</v>
      </c>
      <c r="L697" s="75"/>
      <c r="M697" s="76">
        <v>3474.96826171875</v>
      </c>
      <c r="N697" s="76">
        <v>5733.673828125</v>
      </c>
      <c r="O697" s="77"/>
      <c r="P697" s="78"/>
      <c r="Q697" s="78"/>
      <c r="R697" s="82"/>
      <c r="S697" s="82"/>
      <c r="T697" s="82"/>
      <c r="U697" s="82"/>
      <c r="V697" s="52"/>
      <c r="W697" s="52"/>
      <c r="X697" s="52"/>
      <c r="Y697" s="52"/>
      <c r="Z697" s="51"/>
      <c r="AA697" s="73">
        <v>697</v>
      </c>
      <c r="AB697" s="73"/>
      <c r="AC697" s="74"/>
      <c r="AD697" s="80" t="s">
        <v>1928</v>
      </c>
      <c r="AE697" s="80" t="s">
        <v>2867</v>
      </c>
      <c r="AF697" s="80" t="s">
        <v>3605</v>
      </c>
      <c r="AG697" s="80" t="s">
        <v>4337</v>
      </c>
      <c r="AH697" s="80" t="s">
        <v>5250</v>
      </c>
      <c r="AI697" s="80">
        <v>109209139</v>
      </c>
      <c r="AJ697" s="80">
        <v>13439</v>
      </c>
      <c r="AK697" s="80">
        <v>633053</v>
      </c>
      <c r="AL697" s="80">
        <v>34161</v>
      </c>
      <c r="AM697" s="80" t="s">
        <v>5614</v>
      </c>
      <c r="AN697" s="102" t="str">
        <f>HYPERLINK("https://www.youtube.com/watch?v=IXtDChNB3gc")</f>
        <v>https://www.youtube.com/watch?v=IXtDChNB3gc</v>
      </c>
      <c r="AO697" s="2"/>
      <c r="AP697" s="3"/>
      <c r="AQ697" s="3"/>
      <c r="AR697" s="3"/>
      <c r="AS697" s="3"/>
    </row>
    <row r="698" spans="1:45" ht="15">
      <c r="A698" s="66" t="s">
        <v>875</v>
      </c>
      <c r="B698" s="67"/>
      <c r="C698" s="67"/>
      <c r="D698" s="68"/>
      <c r="E698" s="70"/>
      <c r="F698" s="100" t="str">
        <f>HYPERLINK("https://i.ytimg.com/vi/IHchRepUj8o/default.jpg")</f>
        <v>https://i.ytimg.com/vi/IHchRepUj8o/default.jpg</v>
      </c>
      <c r="G698" s="67"/>
      <c r="H698" s="71"/>
      <c r="I698" s="72"/>
      <c r="J698" s="72"/>
      <c r="K698" s="71" t="s">
        <v>1929</v>
      </c>
      <c r="L698" s="75"/>
      <c r="M698" s="76">
        <v>6791.521484375</v>
      </c>
      <c r="N698" s="76">
        <v>2665.778564453125</v>
      </c>
      <c r="O698" s="77"/>
      <c r="P698" s="78"/>
      <c r="Q698" s="78"/>
      <c r="R698" s="82"/>
      <c r="S698" s="82"/>
      <c r="T698" s="82"/>
      <c r="U698" s="82"/>
      <c r="V698" s="52"/>
      <c r="W698" s="52"/>
      <c r="X698" s="52"/>
      <c r="Y698" s="52"/>
      <c r="Z698" s="51"/>
      <c r="AA698" s="73">
        <v>698</v>
      </c>
      <c r="AB698" s="73"/>
      <c r="AC698" s="74"/>
      <c r="AD698" s="80" t="s">
        <v>1929</v>
      </c>
      <c r="AE698" s="80" t="s">
        <v>2868</v>
      </c>
      <c r="AF698" s="80" t="s">
        <v>3606</v>
      </c>
      <c r="AG698" s="80" t="s">
        <v>4338</v>
      </c>
      <c r="AH698" s="80" t="s">
        <v>5251</v>
      </c>
      <c r="AI698" s="80">
        <v>104649</v>
      </c>
      <c r="AJ698" s="80">
        <v>27</v>
      </c>
      <c r="AK698" s="80">
        <v>3099</v>
      </c>
      <c r="AL698" s="80">
        <v>91</v>
      </c>
      <c r="AM698" s="80" t="s">
        <v>5614</v>
      </c>
      <c r="AN698" s="102" t="str">
        <f>HYPERLINK("https://www.youtube.com/watch?v=IHchRepUj8o")</f>
        <v>https://www.youtube.com/watch?v=IHchRepUj8o</v>
      </c>
      <c r="AO698" s="2"/>
      <c r="AP698" s="3"/>
      <c r="AQ698" s="3"/>
      <c r="AR698" s="3"/>
      <c r="AS698" s="3"/>
    </row>
    <row r="699" spans="1:45" ht="15">
      <c r="A699" s="66" t="s">
        <v>876</v>
      </c>
      <c r="B699" s="67"/>
      <c r="C699" s="67"/>
      <c r="D699" s="68"/>
      <c r="E699" s="70"/>
      <c r="F699" s="100" t="str">
        <f>HYPERLINK("https://i.ytimg.com/vi/RJ1V7fr28x0/default.jpg")</f>
        <v>https://i.ytimg.com/vi/RJ1V7fr28x0/default.jpg</v>
      </c>
      <c r="G699" s="67"/>
      <c r="H699" s="71"/>
      <c r="I699" s="72"/>
      <c r="J699" s="72"/>
      <c r="K699" s="71" t="s">
        <v>1930</v>
      </c>
      <c r="L699" s="75"/>
      <c r="M699" s="76">
        <v>3475.0458984375</v>
      </c>
      <c r="N699" s="76">
        <v>5715.482421875</v>
      </c>
      <c r="O699" s="77"/>
      <c r="P699" s="78"/>
      <c r="Q699" s="78"/>
      <c r="R699" s="82"/>
      <c r="S699" s="82"/>
      <c r="T699" s="82"/>
      <c r="U699" s="82"/>
      <c r="V699" s="52"/>
      <c r="W699" s="52"/>
      <c r="X699" s="52"/>
      <c r="Y699" s="52"/>
      <c r="Z699" s="51"/>
      <c r="AA699" s="73">
        <v>699</v>
      </c>
      <c r="AB699" s="73"/>
      <c r="AC699" s="74"/>
      <c r="AD699" s="80" t="s">
        <v>1930</v>
      </c>
      <c r="AE699" s="80" t="s">
        <v>2869</v>
      </c>
      <c r="AF699" s="80" t="s">
        <v>3607</v>
      </c>
      <c r="AG699" s="80" t="s">
        <v>4339</v>
      </c>
      <c r="AH699" s="80" t="s">
        <v>5252</v>
      </c>
      <c r="AI699" s="80">
        <v>637732</v>
      </c>
      <c r="AJ699" s="80">
        <v>380</v>
      </c>
      <c r="AK699" s="80">
        <v>7754</v>
      </c>
      <c r="AL699" s="80">
        <v>247</v>
      </c>
      <c r="AM699" s="80" t="s">
        <v>5614</v>
      </c>
      <c r="AN699" s="102" t="str">
        <f>HYPERLINK("https://www.youtube.com/watch?v=RJ1V7fr28x0")</f>
        <v>https://www.youtube.com/watch?v=RJ1V7fr28x0</v>
      </c>
      <c r="AO699" s="2"/>
      <c r="AP699" s="3"/>
      <c r="AQ699" s="3"/>
      <c r="AR699" s="3"/>
      <c r="AS699" s="3"/>
    </row>
    <row r="700" spans="1:45" ht="15">
      <c r="A700" s="66" t="s">
        <v>877</v>
      </c>
      <c r="B700" s="67"/>
      <c r="C700" s="67"/>
      <c r="D700" s="68"/>
      <c r="E700" s="70"/>
      <c r="F700" s="100" t="str">
        <f>HYPERLINK("https://i.ytimg.com/vi/tSAlzuYd2ig/default.jpg")</f>
        <v>https://i.ytimg.com/vi/tSAlzuYd2ig/default.jpg</v>
      </c>
      <c r="G700" s="67"/>
      <c r="H700" s="71"/>
      <c r="I700" s="72"/>
      <c r="J700" s="72"/>
      <c r="K700" s="71" t="s">
        <v>1931</v>
      </c>
      <c r="L700" s="75"/>
      <c r="M700" s="76">
        <v>3237.89990234375</v>
      </c>
      <c r="N700" s="76">
        <v>5596.7236328125</v>
      </c>
      <c r="O700" s="77"/>
      <c r="P700" s="78"/>
      <c r="Q700" s="78"/>
      <c r="R700" s="82"/>
      <c r="S700" s="82"/>
      <c r="T700" s="82"/>
      <c r="U700" s="82"/>
      <c r="V700" s="52"/>
      <c r="W700" s="52"/>
      <c r="X700" s="52"/>
      <c r="Y700" s="52"/>
      <c r="Z700" s="51"/>
      <c r="AA700" s="73">
        <v>700</v>
      </c>
      <c r="AB700" s="73"/>
      <c r="AC700" s="74"/>
      <c r="AD700" s="80" t="s">
        <v>1931</v>
      </c>
      <c r="AE700" s="80" t="s">
        <v>2870</v>
      </c>
      <c r="AF700" s="80" t="s">
        <v>3608</v>
      </c>
      <c r="AG700" s="80" t="s">
        <v>4340</v>
      </c>
      <c r="AH700" s="80" t="s">
        <v>5253</v>
      </c>
      <c r="AI700" s="80">
        <v>39129</v>
      </c>
      <c r="AJ700" s="80">
        <v>26</v>
      </c>
      <c r="AK700" s="80">
        <v>586</v>
      </c>
      <c r="AL700" s="80">
        <v>20</v>
      </c>
      <c r="AM700" s="80" t="s">
        <v>5614</v>
      </c>
      <c r="AN700" s="102" t="str">
        <f>HYPERLINK("https://www.youtube.com/watch?v=tSAlzuYd2ig")</f>
        <v>https://www.youtube.com/watch?v=tSAlzuYd2ig</v>
      </c>
      <c r="AO700" s="2"/>
      <c r="AP700" s="3"/>
      <c r="AQ700" s="3"/>
      <c r="AR700" s="3"/>
      <c r="AS700" s="3"/>
    </row>
    <row r="701" spans="1:45" ht="15">
      <c r="A701" s="66" t="s">
        <v>878</v>
      </c>
      <c r="B701" s="67"/>
      <c r="C701" s="67"/>
      <c r="D701" s="68"/>
      <c r="E701" s="70"/>
      <c r="F701" s="100" t="str">
        <f>HYPERLINK("https://i.ytimg.com/vi/1oMThuGDZwg/default.jpg")</f>
        <v>https://i.ytimg.com/vi/1oMThuGDZwg/default.jpg</v>
      </c>
      <c r="G701" s="67"/>
      <c r="H701" s="71"/>
      <c r="I701" s="72"/>
      <c r="J701" s="72"/>
      <c r="K701" s="71" t="s">
        <v>1932</v>
      </c>
      <c r="L701" s="75"/>
      <c r="M701" s="76">
        <v>3150.878173828125</v>
      </c>
      <c r="N701" s="76">
        <v>5296.8056640625</v>
      </c>
      <c r="O701" s="77"/>
      <c r="P701" s="78"/>
      <c r="Q701" s="78"/>
      <c r="R701" s="82"/>
      <c r="S701" s="82"/>
      <c r="T701" s="82"/>
      <c r="U701" s="82"/>
      <c r="V701" s="52"/>
      <c r="W701" s="52"/>
      <c r="X701" s="52"/>
      <c r="Y701" s="52"/>
      <c r="Z701" s="51"/>
      <c r="AA701" s="73">
        <v>701</v>
      </c>
      <c r="AB701" s="73"/>
      <c r="AC701" s="74"/>
      <c r="AD701" s="80" t="s">
        <v>1932</v>
      </c>
      <c r="AE701" s="80" t="s">
        <v>2871</v>
      </c>
      <c r="AF701" s="80" t="s">
        <v>3609</v>
      </c>
      <c r="AG701" s="80" t="s">
        <v>4341</v>
      </c>
      <c r="AH701" s="80" t="s">
        <v>5254</v>
      </c>
      <c r="AI701" s="80">
        <v>40858</v>
      </c>
      <c r="AJ701" s="80">
        <v>57</v>
      </c>
      <c r="AK701" s="80">
        <v>960</v>
      </c>
      <c r="AL701" s="80">
        <v>16</v>
      </c>
      <c r="AM701" s="80" t="s">
        <v>5614</v>
      </c>
      <c r="AN701" s="102" t="str">
        <f>HYPERLINK("https://www.youtube.com/watch?v=1oMThuGDZwg")</f>
        <v>https://www.youtube.com/watch?v=1oMThuGDZwg</v>
      </c>
      <c r="AO701" s="2"/>
      <c r="AP701" s="3"/>
      <c r="AQ701" s="3"/>
      <c r="AR701" s="3"/>
      <c r="AS701" s="3"/>
    </row>
    <row r="702" spans="1:45" ht="15">
      <c r="A702" s="66" t="s">
        <v>879</v>
      </c>
      <c r="B702" s="67"/>
      <c r="C702" s="67"/>
      <c r="D702" s="68"/>
      <c r="E702" s="70"/>
      <c r="F702" s="100" t="str">
        <f>HYPERLINK("https://i.ytimg.com/vi/K1MvnzXDKaI/default.jpg")</f>
        <v>https://i.ytimg.com/vi/K1MvnzXDKaI/default.jpg</v>
      </c>
      <c r="G702" s="67"/>
      <c r="H702" s="71"/>
      <c r="I702" s="72"/>
      <c r="J702" s="72"/>
      <c r="K702" s="71" t="s">
        <v>1917</v>
      </c>
      <c r="L702" s="75"/>
      <c r="M702" s="76">
        <v>3024.294921875</v>
      </c>
      <c r="N702" s="76">
        <v>5357.44091796875</v>
      </c>
      <c r="O702" s="77"/>
      <c r="P702" s="78"/>
      <c r="Q702" s="78"/>
      <c r="R702" s="82"/>
      <c r="S702" s="82"/>
      <c r="T702" s="82"/>
      <c r="U702" s="82"/>
      <c r="V702" s="52"/>
      <c r="W702" s="52"/>
      <c r="X702" s="52"/>
      <c r="Y702" s="52"/>
      <c r="Z702" s="51"/>
      <c r="AA702" s="73">
        <v>702</v>
      </c>
      <c r="AB702" s="73"/>
      <c r="AC702" s="74"/>
      <c r="AD702" s="80" t="s">
        <v>1917</v>
      </c>
      <c r="AE702" s="80" t="s">
        <v>2872</v>
      </c>
      <c r="AF702" s="80"/>
      <c r="AG702" s="80" t="s">
        <v>4342</v>
      </c>
      <c r="AH702" s="80" t="s">
        <v>5255</v>
      </c>
      <c r="AI702" s="80">
        <v>735</v>
      </c>
      <c r="AJ702" s="80">
        <v>1</v>
      </c>
      <c r="AK702" s="80">
        <v>18</v>
      </c>
      <c r="AL702" s="80">
        <v>0</v>
      </c>
      <c r="AM702" s="80" t="s">
        <v>5614</v>
      </c>
      <c r="AN702" s="102" t="str">
        <f>HYPERLINK("https://www.youtube.com/watch?v=K1MvnzXDKaI")</f>
        <v>https://www.youtube.com/watch?v=K1MvnzXDKaI</v>
      </c>
      <c r="AO702" s="2"/>
      <c r="AP702" s="3"/>
      <c r="AQ702" s="3"/>
      <c r="AR702" s="3"/>
      <c r="AS702" s="3"/>
    </row>
    <row r="703" spans="1:45" ht="15">
      <c r="A703" s="66" t="s">
        <v>880</v>
      </c>
      <c r="B703" s="67"/>
      <c r="C703" s="67"/>
      <c r="D703" s="68"/>
      <c r="E703" s="70"/>
      <c r="F703" s="100" t="str">
        <f>HYPERLINK("https://i.ytimg.com/vi/bzd8r-uEjY8/default.jpg")</f>
        <v>https://i.ytimg.com/vi/bzd8r-uEjY8/default.jpg</v>
      </c>
      <c r="G703" s="67"/>
      <c r="H703" s="71"/>
      <c r="I703" s="72"/>
      <c r="J703" s="72"/>
      <c r="K703" s="71" t="s">
        <v>1933</v>
      </c>
      <c r="L703" s="75"/>
      <c r="M703" s="76">
        <v>3397.970947265625</v>
      </c>
      <c r="N703" s="76">
        <v>5795.44482421875</v>
      </c>
      <c r="O703" s="77"/>
      <c r="P703" s="78"/>
      <c r="Q703" s="78"/>
      <c r="R703" s="82"/>
      <c r="S703" s="82"/>
      <c r="T703" s="82"/>
      <c r="U703" s="82"/>
      <c r="V703" s="52"/>
      <c r="W703" s="52"/>
      <c r="X703" s="52"/>
      <c r="Y703" s="52"/>
      <c r="Z703" s="51"/>
      <c r="AA703" s="73">
        <v>703</v>
      </c>
      <c r="AB703" s="73"/>
      <c r="AC703" s="74"/>
      <c r="AD703" s="80" t="s">
        <v>1933</v>
      </c>
      <c r="AE703" s="80" t="s">
        <v>2873</v>
      </c>
      <c r="AF703" s="80" t="s">
        <v>3610</v>
      </c>
      <c r="AG703" s="80" t="s">
        <v>4343</v>
      </c>
      <c r="AH703" s="80" t="s">
        <v>5256</v>
      </c>
      <c r="AI703" s="80">
        <v>12000</v>
      </c>
      <c r="AJ703" s="80">
        <v>5</v>
      </c>
      <c r="AK703" s="80">
        <v>31</v>
      </c>
      <c r="AL703" s="80">
        <v>4</v>
      </c>
      <c r="AM703" s="80" t="s">
        <v>5614</v>
      </c>
      <c r="AN703" s="102" t="str">
        <f>HYPERLINK("https://www.youtube.com/watch?v=bzd8r-uEjY8")</f>
        <v>https://www.youtube.com/watch?v=bzd8r-uEjY8</v>
      </c>
      <c r="AO703" s="2"/>
      <c r="AP703" s="3"/>
      <c r="AQ703" s="3"/>
      <c r="AR703" s="3"/>
      <c r="AS703" s="3"/>
    </row>
    <row r="704" spans="1:45" ht="15">
      <c r="A704" s="66" t="s">
        <v>881</v>
      </c>
      <c r="B704" s="67"/>
      <c r="C704" s="67"/>
      <c r="D704" s="68"/>
      <c r="E704" s="70"/>
      <c r="F704" s="100" t="str">
        <f>HYPERLINK("https://i.ytimg.com/vi/NwqYOLQF_z0/default.jpg")</f>
        <v>https://i.ytimg.com/vi/NwqYOLQF_z0/default.jpg</v>
      </c>
      <c r="G704" s="67"/>
      <c r="H704" s="71"/>
      <c r="I704" s="72"/>
      <c r="J704" s="72"/>
      <c r="K704" s="71" t="s">
        <v>1934</v>
      </c>
      <c r="L704" s="75"/>
      <c r="M704" s="76">
        <v>3180.764892578125</v>
      </c>
      <c r="N704" s="76">
        <v>5525.9287109375</v>
      </c>
      <c r="O704" s="77"/>
      <c r="P704" s="78"/>
      <c r="Q704" s="78"/>
      <c r="R704" s="82"/>
      <c r="S704" s="82"/>
      <c r="T704" s="82"/>
      <c r="U704" s="82"/>
      <c r="V704" s="52"/>
      <c r="W704" s="52"/>
      <c r="X704" s="52"/>
      <c r="Y704" s="52"/>
      <c r="Z704" s="51"/>
      <c r="AA704" s="73">
        <v>704</v>
      </c>
      <c r="AB704" s="73"/>
      <c r="AC704" s="74"/>
      <c r="AD704" s="80" t="s">
        <v>1934</v>
      </c>
      <c r="AE704" s="80" t="s">
        <v>2874</v>
      </c>
      <c r="AF704" s="80" t="s">
        <v>3611</v>
      </c>
      <c r="AG704" s="80" t="s">
        <v>4344</v>
      </c>
      <c r="AH704" s="80" t="s">
        <v>5257</v>
      </c>
      <c r="AI704" s="80">
        <v>263993787</v>
      </c>
      <c r="AJ704" s="80">
        <v>13892</v>
      </c>
      <c r="AK704" s="80">
        <v>612380</v>
      </c>
      <c r="AL704" s="80">
        <v>145595</v>
      </c>
      <c r="AM704" s="80" t="s">
        <v>5614</v>
      </c>
      <c r="AN704" s="102" t="str">
        <f>HYPERLINK("https://www.youtube.com/watch?v=NwqYOLQF_z0")</f>
        <v>https://www.youtube.com/watch?v=NwqYOLQF_z0</v>
      </c>
      <c r="AO704" s="2"/>
      <c r="AP704" s="3"/>
      <c r="AQ704" s="3"/>
      <c r="AR704" s="3"/>
      <c r="AS704" s="3"/>
    </row>
    <row r="705" spans="1:45" ht="15">
      <c r="A705" s="66" t="s">
        <v>882</v>
      </c>
      <c r="B705" s="67"/>
      <c r="C705" s="67"/>
      <c r="D705" s="68"/>
      <c r="E705" s="70"/>
      <c r="F705" s="100" t="str">
        <f>HYPERLINK("https://i.ytimg.com/vi/_y1Ioi9ZhB8/default.jpg")</f>
        <v>https://i.ytimg.com/vi/_y1Ioi9ZhB8/default.jpg</v>
      </c>
      <c r="G705" s="67"/>
      <c r="H705" s="71"/>
      <c r="I705" s="72"/>
      <c r="J705" s="72"/>
      <c r="K705" s="71" t="s">
        <v>1935</v>
      </c>
      <c r="L705" s="75"/>
      <c r="M705" s="76">
        <v>3229.951171875</v>
      </c>
      <c r="N705" s="76">
        <v>5453.47802734375</v>
      </c>
      <c r="O705" s="77"/>
      <c r="P705" s="78"/>
      <c r="Q705" s="78"/>
      <c r="R705" s="82"/>
      <c r="S705" s="82"/>
      <c r="T705" s="82"/>
      <c r="U705" s="82"/>
      <c r="V705" s="52"/>
      <c r="W705" s="52"/>
      <c r="X705" s="52"/>
      <c r="Y705" s="52"/>
      <c r="Z705" s="51"/>
      <c r="AA705" s="73">
        <v>705</v>
      </c>
      <c r="AB705" s="73"/>
      <c r="AC705" s="74"/>
      <c r="AD705" s="80" t="s">
        <v>1935</v>
      </c>
      <c r="AE705" s="80" t="s">
        <v>2875</v>
      </c>
      <c r="AF705" s="80" t="s">
        <v>3612</v>
      </c>
      <c r="AG705" s="80" t="s">
        <v>4345</v>
      </c>
      <c r="AH705" s="80" t="s">
        <v>5258</v>
      </c>
      <c r="AI705" s="80">
        <v>1907</v>
      </c>
      <c r="AJ705" s="80">
        <v>1</v>
      </c>
      <c r="AK705" s="80">
        <v>38</v>
      </c>
      <c r="AL705" s="80">
        <v>1</v>
      </c>
      <c r="AM705" s="80" t="s">
        <v>5614</v>
      </c>
      <c r="AN705" s="102" t="str">
        <f>HYPERLINK("https://www.youtube.com/watch?v=_y1Ioi9ZhB8")</f>
        <v>https://www.youtube.com/watch?v=_y1Ioi9ZhB8</v>
      </c>
      <c r="AO705" s="2"/>
      <c r="AP705" s="3"/>
      <c r="AQ705" s="3"/>
      <c r="AR705" s="3"/>
      <c r="AS705" s="3"/>
    </row>
    <row r="706" spans="1:45" ht="15">
      <c r="A706" s="66" t="s">
        <v>883</v>
      </c>
      <c r="B706" s="67"/>
      <c r="C706" s="67"/>
      <c r="D706" s="68"/>
      <c r="E706" s="70"/>
      <c r="F706" s="100" t="str">
        <f>HYPERLINK("https://i.ytimg.com/vi/WLsTzYBFb8I/default.jpg")</f>
        <v>https://i.ytimg.com/vi/WLsTzYBFb8I/default.jpg</v>
      </c>
      <c r="G706" s="67"/>
      <c r="H706" s="71"/>
      <c r="I706" s="72"/>
      <c r="J706" s="72"/>
      <c r="K706" s="71" t="s">
        <v>1936</v>
      </c>
      <c r="L706" s="75"/>
      <c r="M706" s="76">
        <v>3211.487060546875</v>
      </c>
      <c r="N706" s="76">
        <v>5529.9501953125</v>
      </c>
      <c r="O706" s="77"/>
      <c r="P706" s="78"/>
      <c r="Q706" s="78"/>
      <c r="R706" s="82"/>
      <c r="S706" s="82"/>
      <c r="T706" s="82"/>
      <c r="U706" s="82"/>
      <c r="V706" s="52"/>
      <c r="W706" s="52"/>
      <c r="X706" s="52"/>
      <c r="Y706" s="52"/>
      <c r="Z706" s="51"/>
      <c r="AA706" s="73">
        <v>706</v>
      </c>
      <c r="AB706" s="73"/>
      <c r="AC706" s="74"/>
      <c r="AD706" s="80" t="s">
        <v>1936</v>
      </c>
      <c r="AE706" s="80" t="s">
        <v>2876</v>
      </c>
      <c r="AF706" s="80" t="s">
        <v>3613</v>
      </c>
      <c r="AG706" s="80" t="s">
        <v>4346</v>
      </c>
      <c r="AH706" s="80" t="s">
        <v>5259</v>
      </c>
      <c r="AI706" s="80">
        <v>25372</v>
      </c>
      <c r="AJ706" s="80">
        <v>99</v>
      </c>
      <c r="AK706" s="80">
        <v>680</v>
      </c>
      <c r="AL706" s="80">
        <v>15</v>
      </c>
      <c r="AM706" s="80" t="s">
        <v>5614</v>
      </c>
      <c r="AN706" s="102" t="str">
        <f>HYPERLINK("https://www.youtube.com/watch?v=WLsTzYBFb8I")</f>
        <v>https://www.youtube.com/watch?v=WLsTzYBFb8I</v>
      </c>
      <c r="AO706" s="2"/>
      <c r="AP706" s="3"/>
      <c r="AQ706" s="3"/>
      <c r="AR706" s="3"/>
      <c r="AS706" s="3"/>
    </row>
    <row r="707" spans="1:45" ht="15">
      <c r="A707" s="66" t="s">
        <v>884</v>
      </c>
      <c r="B707" s="67"/>
      <c r="C707" s="67"/>
      <c r="D707" s="68"/>
      <c r="E707" s="70"/>
      <c r="F707" s="100" t="str">
        <f>HYPERLINK("https://i.ytimg.com/vi/tj7al6MXu7U/default.jpg")</f>
        <v>https://i.ytimg.com/vi/tj7al6MXu7U/default.jpg</v>
      </c>
      <c r="G707" s="67"/>
      <c r="H707" s="71"/>
      <c r="I707" s="72"/>
      <c r="J707" s="72"/>
      <c r="K707" s="71" t="s">
        <v>1937</v>
      </c>
      <c r="L707" s="75"/>
      <c r="M707" s="76">
        <v>3460.865234375</v>
      </c>
      <c r="N707" s="76">
        <v>5839.6171875</v>
      </c>
      <c r="O707" s="77"/>
      <c r="P707" s="78"/>
      <c r="Q707" s="78"/>
      <c r="R707" s="82"/>
      <c r="S707" s="82"/>
      <c r="T707" s="82"/>
      <c r="U707" s="82"/>
      <c r="V707" s="52"/>
      <c r="W707" s="52"/>
      <c r="X707" s="52"/>
      <c r="Y707" s="52"/>
      <c r="Z707" s="51"/>
      <c r="AA707" s="73">
        <v>707</v>
      </c>
      <c r="AB707" s="73"/>
      <c r="AC707" s="74"/>
      <c r="AD707" s="80" t="s">
        <v>1937</v>
      </c>
      <c r="AE707" s="80" t="s">
        <v>2877</v>
      </c>
      <c r="AF707" s="80" t="s">
        <v>3614</v>
      </c>
      <c r="AG707" s="80" t="s">
        <v>4347</v>
      </c>
      <c r="AH707" s="80" t="s">
        <v>5260</v>
      </c>
      <c r="AI707" s="80">
        <v>136455169</v>
      </c>
      <c r="AJ707" s="80">
        <v>37504</v>
      </c>
      <c r="AK707" s="80">
        <v>896146</v>
      </c>
      <c r="AL707" s="80">
        <v>79232</v>
      </c>
      <c r="AM707" s="80" t="s">
        <v>5614</v>
      </c>
      <c r="AN707" s="102" t="str">
        <f>HYPERLINK("https://www.youtube.com/watch?v=tj7al6MXu7U")</f>
        <v>https://www.youtube.com/watch?v=tj7al6MXu7U</v>
      </c>
      <c r="AO707" s="2"/>
      <c r="AP707" s="3"/>
      <c r="AQ707" s="3"/>
      <c r="AR707" s="3"/>
      <c r="AS707" s="3"/>
    </row>
    <row r="708" spans="1:45" ht="15">
      <c r="A708" s="66" t="s">
        <v>885</v>
      </c>
      <c r="B708" s="67"/>
      <c r="C708" s="67"/>
      <c r="D708" s="68"/>
      <c r="E708" s="70"/>
      <c r="F708" s="100" t="str">
        <f>HYPERLINK("https://i.ytimg.com/vi/ikDCoWRaqWk/default.jpg")</f>
        <v>https://i.ytimg.com/vi/ikDCoWRaqWk/default.jpg</v>
      </c>
      <c r="G708" s="67"/>
      <c r="H708" s="71"/>
      <c r="I708" s="72"/>
      <c r="J708" s="72"/>
      <c r="K708" s="71" t="s">
        <v>1938</v>
      </c>
      <c r="L708" s="75"/>
      <c r="M708" s="76">
        <v>3163.629638671875</v>
      </c>
      <c r="N708" s="76">
        <v>5622.63330078125</v>
      </c>
      <c r="O708" s="77"/>
      <c r="P708" s="78"/>
      <c r="Q708" s="78"/>
      <c r="R708" s="82"/>
      <c r="S708" s="82"/>
      <c r="T708" s="82"/>
      <c r="U708" s="82"/>
      <c r="V708" s="52"/>
      <c r="W708" s="52"/>
      <c r="X708" s="52"/>
      <c r="Y708" s="52"/>
      <c r="Z708" s="51"/>
      <c r="AA708" s="73">
        <v>708</v>
      </c>
      <c r="AB708" s="73"/>
      <c r="AC708" s="74"/>
      <c r="AD708" s="80" t="s">
        <v>1938</v>
      </c>
      <c r="AE708" s="80" t="s">
        <v>2878</v>
      </c>
      <c r="AF708" s="80" t="s">
        <v>3615</v>
      </c>
      <c r="AG708" s="80" t="s">
        <v>4348</v>
      </c>
      <c r="AH708" s="80" t="s">
        <v>5261</v>
      </c>
      <c r="AI708" s="80">
        <v>13278</v>
      </c>
      <c r="AJ708" s="80">
        <v>5</v>
      </c>
      <c r="AK708" s="80">
        <v>102</v>
      </c>
      <c r="AL708" s="80">
        <v>3</v>
      </c>
      <c r="AM708" s="80" t="s">
        <v>5614</v>
      </c>
      <c r="AN708" s="102" t="str">
        <f>HYPERLINK("https://www.youtube.com/watch?v=ikDCoWRaqWk")</f>
        <v>https://www.youtube.com/watch?v=ikDCoWRaqWk</v>
      </c>
      <c r="AO708" s="2"/>
      <c r="AP708" s="3"/>
      <c r="AQ708" s="3"/>
      <c r="AR708" s="3"/>
      <c r="AS708" s="3"/>
    </row>
    <row r="709" spans="1:45" ht="15">
      <c r="A709" s="66" t="s">
        <v>886</v>
      </c>
      <c r="B709" s="67"/>
      <c r="C709" s="67"/>
      <c r="D709" s="68"/>
      <c r="E709" s="70"/>
      <c r="F709" s="100" t="str">
        <f>HYPERLINK("https://i.ytimg.com/vi/emgsBpy8XZ4/default.jpg")</f>
        <v>https://i.ytimg.com/vi/emgsBpy8XZ4/default.jpg</v>
      </c>
      <c r="G709" s="67"/>
      <c r="H709" s="71"/>
      <c r="I709" s="72"/>
      <c r="J709" s="72"/>
      <c r="K709" s="71" t="s">
        <v>1939</v>
      </c>
      <c r="L709" s="75"/>
      <c r="M709" s="76">
        <v>6611.814453125</v>
      </c>
      <c r="N709" s="76">
        <v>2764.47705078125</v>
      </c>
      <c r="O709" s="77"/>
      <c r="P709" s="78"/>
      <c r="Q709" s="78"/>
      <c r="R709" s="82"/>
      <c r="S709" s="82"/>
      <c r="T709" s="82"/>
      <c r="U709" s="82"/>
      <c r="V709" s="52"/>
      <c r="W709" s="52"/>
      <c r="X709" s="52"/>
      <c r="Y709" s="52"/>
      <c r="Z709" s="51"/>
      <c r="AA709" s="73">
        <v>709</v>
      </c>
      <c r="AB709" s="73"/>
      <c r="AC709" s="74"/>
      <c r="AD709" s="80" t="s">
        <v>1939</v>
      </c>
      <c r="AE709" s="80" t="s">
        <v>2879</v>
      </c>
      <c r="AF709" s="80" t="s">
        <v>3616</v>
      </c>
      <c r="AG709" s="80" t="s">
        <v>4349</v>
      </c>
      <c r="AH709" s="80" t="s">
        <v>5262</v>
      </c>
      <c r="AI709" s="80">
        <v>6299</v>
      </c>
      <c r="AJ709" s="80">
        <v>2</v>
      </c>
      <c r="AK709" s="80">
        <v>33</v>
      </c>
      <c r="AL709" s="80">
        <v>1</v>
      </c>
      <c r="AM709" s="80" t="s">
        <v>5614</v>
      </c>
      <c r="AN709" s="102" t="str">
        <f>HYPERLINK("https://www.youtube.com/watch?v=emgsBpy8XZ4")</f>
        <v>https://www.youtube.com/watch?v=emgsBpy8XZ4</v>
      </c>
      <c r="AO709" s="2"/>
      <c r="AP709" s="3"/>
      <c r="AQ709" s="3"/>
      <c r="AR709" s="3"/>
      <c r="AS709" s="3"/>
    </row>
    <row r="710" spans="1:45" ht="15">
      <c r="A710" s="66" t="s">
        <v>887</v>
      </c>
      <c r="B710" s="67"/>
      <c r="C710" s="67"/>
      <c r="D710" s="68"/>
      <c r="E710" s="70"/>
      <c r="F710" s="100" t="str">
        <f>HYPERLINK("https://i.ytimg.com/vi/ARM42-eorzE/default.jpg")</f>
        <v>https://i.ytimg.com/vi/ARM42-eorzE/default.jpg</v>
      </c>
      <c r="G710" s="67"/>
      <c r="H710" s="71"/>
      <c r="I710" s="72"/>
      <c r="J710" s="72"/>
      <c r="K710" s="71" t="s">
        <v>1940</v>
      </c>
      <c r="L710" s="75"/>
      <c r="M710" s="76">
        <v>3270.425537109375</v>
      </c>
      <c r="N710" s="76">
        <v>5727.93212890625</v>
      </c>
      <c r="O710" s="77"/>
      <c r="P710" s="78"/>
      <c r="Q710" s="78"/>
      <c r="R710" s="82"/>
      <c r="S710" s="82"/>
      <c r="T710" s="82"/>
      <c r="U710" s="82"/>
      <c r="V710" s="52"/>
      <c r="W710" s="52"/>
      <c r="X710" s="52"/>
      <c r="Y710" s="52"/>
      <c r="Z710" s="51"/>
      <c r="AA710" s="73">
        <v>710</v>
      </c>
      <c r="AB710" s="73"/>
      <c r="AC710" s="74"/>
      <c r="AD710" s="80" t="s">
        <v>1940</v>
      </c>
      <c r="AE710" s="80" t="s">
        <v>2880</v>
      </c>
      <c r="AF710" s="80" t="s">
        <v>3617</v>
      </c>
      <c r="AG710" s="80" t="s">
        <v>4337</v>
      </c>
      <c r="AH710" s="80" t="s">
        <v>5263</v>
      </c>
      <c r="AI710" s="80">
        <v>170482425</v>
      </c>
      <c r="AJ710" s="80">
        <v>39200</v>
      </c>
      <c r="AK710" s="80">
        <v>1076801</v>
      </c>
      <c r="AL710" s="80">
        <v>61453</v>
      </c>
      <c r="AM710" s="80" t="s">
        <v>5614</v>
      </c>
      <c r="AN710" s="102" t="str">
        <f>HYPERLINK("https://www.youtube.com/watch?v=ARM42-eorzE")</f>
        <v>https://www.youtube.com/watch?v=ARM42-eorzE</v>
      </c>
      <c r="AO710" s="2"/>
      <c r="AP710" s="3"/>
      <c r="AQ710" s="3"/>
      <c r="AR710" s="3"/>
      <c r="AS710" s="3"/>
    </row>
    <row r="711" spans="1:45" ht="15">
      <c r="A711" s="66" t="s">
        <v>888</v>
      </c>
      <c r="B711" s="67"/>
      <c r="C711" s="67"/>
      <c r="D711" s="68"/>
      <c r="E711" s="70"/>
      <c r="F711" s="100" t="str">
        <f>HYPERLINK("https://i.ytimg.com/vi/Ee42ORf5U0E/default.jpg")</f>
        <v>https://i.ytimg.com/vi/Ee42ORf5U0E/default.jpg</v>
      </c>
      <c r="G711" s="67"/>
      <c r="H711" s="71"/>
      <c r="I711" s="72"/>
      <c r="J711" s="72"/>
      <c r="K711" s="71" t="s">
        <v>1941</v>
      </c>
      <c r="L711" s="75"/>
      <c r="M711" s="76">
        <v>8452.0703125</v>
      </c>
      <c r="N711" s="76">
        <v>3734.534423828125</v>
      </c>
      <c r="O711" s="77"/>
      <c r="P711" s="78"/>
      <c r="Q711" s="78"/>
      <c r="R711" s="82"/>
      <c r="S711" s="82"/>
      <c r="T711" s="82"/>
      <c r="U711" s="82"/>
      <c r="V711" s="52"/>
      <c r="W711" s="52"/>
      <c r="X711" s="52"/>
      <c r="Y711" s="52"/>
      <c r="Z711" s="51"/>
      <c r="AA711" s="73">
        <v>711</v>
      </c>
      <c r="AB711" s="73"/>
      <c r="AC711" s="74"/>
      <c r="AD711" s="80" t="s">
        <v>1941</v>
      </c>
      <c r="AE711" s="80" t="s">
        <v>2881</v>
      </c>
      <c r="AF711" s="80" t="s">
        <v>3618</v>
      </c>
      <c r="AG711" s="80" t="s">
        <v>4350</v>
      </c>
      <c r="AH711" s="80" t="s">
        <v>5264</v>
      </c>
      <c r="AI711" s="80">
        <v>70799</v>
      </c>
      <c r="AJ711" s="80">
        <v>21</v>
      </c>
      <c r="AK711" s="80">
        <v>1391</v>
      </c>
      <c r="AL711" s="80">
        <v>35</v>
      </c>
      <c r="AM711" s="80" t="s">
        <v>5614</v>
      </c>
      <c r="AN711" s="102" t="str">
        <f>HYPERLINK("https://www.youtube.com/watch?v=Ee42ORf5U0E")</f>
        <v>https://www.youtube.com/watch?v=Ee42ORf5U0E</v>
      </c>
      <c r="AO711" s="2"/>
      <c r="AP711" s="3"/>
      <c r="AQ711" s="3"/>
      <c r="AR711" s="3"/>
      <c r="AS711" s="3"/>
    </row>
    <row r="712" spans="1:45" ht="15">
      <c r="A712" s="66" t="s">
        <v>213</v>
      </c>
      <c r="B712" s="67"/>
      <c r="C712" s="67"/>
      <c r="D712" s="68"/>
      <c r="E712" s="70"/>
      <c r="F712" s="100" t="str">
        <f>HYPERLINK("https://i.ytimg.com/vi/niSKia3KEbM/default.jpg")</f>
        <v>https://i.ytimg.com/vi/niSKia3KEbM/default.jpg</v>
      </c>
      <c r="G712" s="67"/>
      <c r="H712" s="71"/>
      <c r="I712" s="72"/>
      <c r="J712" s="72"/>
      <c r="K712" s="71" t="s">
        <v>1942</v>
      </c>
      <c r="L712" s="75"/>
      <c r="M712" s="76">
        <v>5943.49072265625</v>
      </c>
      <c r="N712" s="76">
        <v>3271.993408203125</v>
      </c>
      <c r="O712" s="77"/>
      <c r="P712" s="78"/>
      <c r="Q712" s="78"/>
      <c r="R712" s="82"/>
      <c r="S712" s="82"/>
      <c r="T712" s="82"/>
      <c r="U712" s="82"/>
      <c r="V712" s="52"/>
      <c r="W712" s="52"/>
      <c r="X712" s="52"/>
      <c r="Y712" s="52"/>
      <c r="Z712" s="51"/>
      <c r="AA712" s="73">
        <v>712</v>
      </c>
      <c r="AB712" s="73"/>
      <c r="AC712" s="74"/>
      <c r="AD712" s="80" t="s">
        <v>1942</v>
      </c>
      <c r="AE712" s="80"/>
      <c r="AF712" s="80"/>
      <c r="AG712" s="80" t="s">
        <v>4351</v>
      </c>
      <c r="AH712" s="80" t="s">
        <v>5265</v>
      </c>
      <c r="AI712" s="80">
        <v>47</v>
      </c>
      <c r="AJ712" s="80">
        <v>0</v>
      </c>
      <c r="AK712" s="80">
        <v>0</v>
      </c>
      <c r="AL712" s="80">
        <v>0</v>
      </c>
      <c r="AM712" s="80" t="s">
        <v>5614</v>
      </c>
      <c r="AN712" s="102" t="str">
        <f>HYPERLINK("https://www.youtube.com/watch?v=niSKia3KEbM")</f>
        <v>https://www.youtube.com/watch?v=niSKia3KEbM</v>
      </c>
      <c r="AO712" s="2"/>
      <c r="AP712" s="3"/>
      <c r="AQ712" s="3"/>
      <c r="AR712" s="3"/>
      <c r="AS712" s="3"/>
    </row>
    <row r="713" spans="1:45" ht="15">
      <c r="A713" s="66" t="s">
        <v>889</v>
      </c>
      <c r="B713" s="67"/>
      <c r="C713" s="67"/>
      <c r="D713" s="68"/>
      <c r="E713" s="70"/>
      <c r="F713" s="100" t="str">
        <f>HYPERLINK("https://i.ytimg.com/vi/UyD8MIYqihY/default.jpg")</f>
        <v>https://i.ytimg.com/vi/UyD8MIYqihY/default.jpg</v>
      </c>
      <c r="G713" s="67"/>
      <c r="H713" s="71"/>
      <c r="I713" s="72"/>
      <c r="J713" s="72"/>
      <c r="K713" s="71" t="s">
        <v>1943</v>
      </c>
      <c r="L713" s="75"/>
      <c r="M713" s="76">
        <v>8043.53271484375</v>
      </c>
      <c r="N713" s="76">
        <v>1188.0924072265625</v>
      </c>
      <c r="O713" s="77"/>
      <c r="P713" s="78"/>
      <c r="Q713" s="78"/>
      <c r="R713" s="82"/>
      <c r="S713" s="82"/>
      <c r="T713" s="82"/>
      <c r="U713" s="82"/>
      <c r="V713" s="52"/>
      <c r="W713" s="52"/>
      <c r="X713" s="52"/>
      <c r="Y713" s="52"/>
      <c r="Z713" s="51"/>
      <c r="AA713" s="73">
        <v>713</v>
      </c>
      <c r="AB713" s="73"/>
      <c r="AC713" s="74"/>
      <c r="AD713" s="80" t="s">
        <v>1943</v>
      </c>
      <c r="AE713" s="80" t="s">
        <v>2882</v>
      </c>
      <c r="AF713" s="80" t="s">
        <v>3619</v>
      </c>
      <c r="AG713" s="80" t="s">
        <v>4352</v>
      </c>
      <c r="AH713" s="80" t="s">
        <v>5266</v>
      </c>
      <c r="AI713" s="80">
        <v>15365</v>
      </c>
      <c r="AJ713" s="80">
        <v>14</v>
      </c>
      <c r="AK713" s="80">
        <v>226</v>
      </c>
      <c r="AL713" s="80">
        <v>33</v>
      </c>
      <c r="AM713" s="80" t="s">
        <v>5614</v>
      </c>
      <c r="AN713" s="102" t="str">
        <f>HYPERLINK("https://www.youtube.com/watch?v=UyD8MIYqihY")</f>
        <v>https://www.youtube.com/watch?v=UyD8MIYqihY</v>
      </c>
      <c r="AO713" s="2"/>
      <c r="AP713" s="3"/>
      <c r="AQ713" s="3"/>
      <c r="AR713" s="3"/>
      <c r="AS713" s="3"/>
    </row>
    <row r="714" spans="1:45" ht="15">
      <c r="A714" s="66" t="s">
        <v>890</v>
      </c>
      <c r="B714" s="67"/>
      <c r="C714" s="67"/>
      <c r="D714" s="68"/>
      <c r="E714" s="70"/>
      <c r="F714" s="100" t="str">
        <f>HYPERLINK("https://i.ytimg.com/vi/eC5mTo2u91U/default.jpg")</f>
        <v>https://i.ytimg.com/vi/eC5mTo2u91U/default.jpg</v>
      </c>
      <c r="G714" s="67"/>
      <c r="H714" s="71"/>
      <c r="I714" s="72"/>
      <c r="J714" s="72"/>
      <c r="K714" s="71" t="s">
        <v>1944</v>
      </c>
      <c r="L714" s="75"/>
      <c r="M714" s="76">
        <v>3915.66162109375</v>
      </c>
      <c r="N714" s="76">
        <v>2932.3974609375</v>
      </c>
      <c r="O714" s="77"/>
      <c r="P714" s="78"/>
      <c r="Q714" s="78"/>
      <c r="R714" s="82"/>
      <c r="S714" s="82"/>
      <c r="T714" s="82"/>
      <c r="U714" s="82"/>
      <c r="V714" s="52"/>
      <c r="W714" s="52"/>
      <c r="X714" s="52"/>
      <c r="Y714" s="52"/>
      <c r="Z714" s="51"/>
      <c r="AA714" s="73">
        <v>714</v>
      </c>
      <c r="AB714" s="73"/>
      <c r="AC714" s="74"/>
      <c r="AD714" s="80" t="s">
        <v>1944</v>
      </c>
      <c r="AE714" s="80" t="s">
        <v>2883</v>
      </c>
      <c r="AF714" s="80"/>
      <c r="AG714" s="80" t="s">
        <v>4353</v>
      </c>
      <c r="AH714" s="80" t="s">
        <v>5267</v>
      </c>
      <c r="AI714" s="80">
        <v>39</v>
      </c>
      <c r="AJ714" s="80">
        <v>0</v>
      </c>
      <c r="AK714" s="80">
        <v>4</v>
      </c>
      <c r="AL714" s="80">
        <v>0</v>
      </c>
      <c r="AM714" s="80" t="s">
        <v>5614</v>
      </c>
      <c r="AN714" s="102" t="str">
        <f>HYPERLINK("https://www.youtube.com/watch?v=eC5mTo2u91U")</f>
        <v>https://www.youtube.com/watch?v=eC5mTo2u91U</v>
      </c>
      <c r="AO714" s="2"/>
      <c r="AP714" s="3"/>
      <c r="AQ714" s="3"/>
      <c r="AR714" s="3"/>
      <c r="AS714" s="3"/>
    </row>
    <row r="715" spans="1:45" ht="15">
      <c r="A715" s="66" t="s">
        <v>891</v>
      </c>
      <c r="B715" s="67"/>
      <c r="C715" s="67"/>
      <c r="D715" s="68"/>
      <c r="E715" s="70"/>
      <c r="F715" s="100" t="str">
        <f>HYPERLINK("https://i.ytimg.com/vi/Ifi1nQikyL4/default.jpg")</f>
        <v>https://i.ytimg.com/vi/Ifi1nQikyL4/default.jpg</v>
      </c>
      <c r="G715" s="67"/>
      <c r="H715" s="71"/>
      <c r="I715" s="72"/>
      <c r="J715" s="72"/>
      <c r="K715" s="71" t="s">
        <v>1945</v>
      </c>
      <c r="L715" s="75"/>
      <c r="M715" s="76">
        <v>5451.080078125</v>
      </c>
      <c r="N715" s="76">
        <v>1700.3568115234375</v>
      </c>
      <c r="O715" s="77"/>
      <c r="P715" s="78"/>
      <c r="Q715" s="78"/>
      <c r="R715" s="82"/>
      <c r="S715" s="82"/>
      <c r="T715" s="82"/>
      <c r="U715" s="82"/>
      <c r="V715" s="52"/>
      <c r="W715" s="52"/>
      <c r="X715" s="52"/>
      <c r="Y715" s="52"/>
      <c r="Z715" s="51"/>
      <c r="AA715" s="73">
        <v>715</v>
      </c>
      <c r="AB715" s="73"/>
      <c r="AC715" s="74"/>
      <c r="AD715" s="80" t="s">
        <v>1945</v>
      </c>
      <c r="AE715" s="80" t="s">
        <v>2884</v>
      </c>
      <c r="AF715" s="80" t="s">
        <v>3620</v>
      </c>
      <c r="AG715" s="80" t="s">
        <v>4354</v>
      </c>
      <c r="AH715" s="80" t="s">
        <v>5268</v>
      </c>
      <c r="AI715" s="80">
        <v>793376</v>
      </c>
      <c r="AJ715" s="80">
        <v>3297</v>
      </c>
      <c r="AK715" s="80">
        <v>22080</v>
      </c>
      <c r="AL715" s="80">
        <v>535</v>
      </c>
      <c r="AM715" s="80" t="s">
        <v>5614</v>
      </c>
      <c r="AN715" s="102" t="str">
        <f>HYPERLINK("https://www.youtube.com/watch?v=Ifi1nQikyL4")</f>
        <v>https://www.youtube.com/watch?v=Ifi1nQikyL4</v>
      </c>
      <c r="AO715" s="2"/>
      <c r="AP715" s="3"/>
      <c r="AQ715" s="3"/>
      <c r="AR715" s="3"/>
      <c r="AS715" s="3"/>
    </row>
    <row r="716" spans="1:45" ht="15">
      <c r="A716" s="66" t="s">
        <v>892</v>
      </c>
      <c r="B716" s="67"/>
      <c r="C716" s="67"/>
      <c r="D716" s="68"/>
      <c r="E716" s="70"/>
      <c r="F716" s="100" t="str">
        <f>HYPERLINK("https://i.ytimg.com/vi/qyxRVFaCfFU/default.jpg")</f>
        <v>https://i.ytimg.com/vi/qyxRVFaCfFU/default.jpg</v>
      </c>
      <c r="G716" s="67"/>
      <c r="H716" s="71"/>
      <c r="I716" s="72"/>
      <c r="J716" s="72"/>
      <c r="K716" s="71" t="s">
        <v>1946</v>
      </c>
      <c r="L716" s="75"/>
      <c r="M716" s="76">
        <v>5684.619140625</v>
      </c>
      <c r="N716" s="76">
        <v>1685.5767822265625</v>
      </c>
      <c r="O716" s="77"/>
      <c r="P716" s="78"/>
      <c r="Q716" s="78"/>
      <c r="R716" s="82"/>
      <c r="S716" s="82"/>
      <c r="T716" s="82"/>
      <c r="U716" s="82"/>
      <c r="V716" s="52"/>
      <c r="W716" s="52"/>
      <c r="X716" s="52"/>
      <c r="Y716" s="52"/>
      <c r="Z716" s="51"/>
      <c r="AA716" s="73">
        <v>716</v>
      </c>
      <c r="AB716" s="73"/>
      <c r="AC716" s="74"/>
      <c r="AD716" s="80" t="s">
        <v>1946</v>
      </c>
      <c r="AE716" s="80" t="s">
        <v>2885</v>
      </c>
      <c r="AF716" s="80" t="s">
        <v>3621</v>
      </c>
      <c r="AG716" s="80" t="s">
        <v>4355</v>
      </c>
      <c r="AH716" s="80" t="s">
        <v>5269</v>
      </c>
      <c r="AI716" s="80">
        <v>14943</v>
      </c>
      <c r="AJ716" s="80">
        <v>18</v>
      </c>
      <c r="AK716" s="80">
        <v>274</v>
      </c>
      <c r="AL716" s="80">
        <v>16</v>
      </c>
      <c r="AM716" s="80" t="s">
        <v>5614</v>
      </c>
      <c r="AN716" s="102" t="str">
        <f>HYPERLINK("https://www.youtube.com/watch?v=qyxRVFaCfFU")</f>
        <v>https://www.youtube.com/watch?v=qyxRVFaCfFU</v>
      </c>
      <c r="AO716" s="2"/>
      <c r="AP716" s="3"/>
      <c r="AQ716" s="3"/>
      <c r="AR716" s="3"/>
      <c r="AS716" s="3"/>
    </row>
    <row r="717" spans="1:45" ht="15">
      <c r="A717" s="66" t="s">
        <v>893</v>
      </c>
      <c r="B717" s="67"/>
      <c r="C717" s="67"/>
      <c r="D717" s="68"/>
      <c r="E717" s="70"/>
      <c r="F717" s="100" t="str">
        <f>HYPERLINK("https://i.ytimg.com/vi/Ds_y_KLSSrM/default.jpg")</f>
        <v>https://i.ytimg.com/vi/Ds_y_KLSSrM/default.jpg</v>
      </c>
      <c r="G717" s="67"/>
      <c r="H717" s="71"/>
      <c r="I717" s="72"/>
      <c r="J717" s="72"/>
      <c r="K717" s="71" t="s">
        <v>1947</v>
      </c>
      <c r="L717" s="75"/>
      <c r="M717" s="76">
        <v>5700.67822265625</v>
      </c>
      <c r="N717" s="76">
        <v>1890.2198486328125</v>
      </c>
      <c r="O717" s="77"/>
      <c r="P717" s="78"/>
      <c r="Q717" s="78"/>
      <c r="R717" s="82"/>
      <c r="S717" s="82"/>
      <c r="T717" s="82"/>
      <c r="U717" s="82"/>
      <c r="V717" s="52"/>
      <c r="W717" s="52"/>
      <c r="X717" s="52"/>
      <c r="Y717" s="52"/>
      <c r="Z717" s="51"/>
      <c r="AA717" s="73">
        <v>717</v>
      </c>
      <c r="AB717" s="73"/>
      <c r="AC717" s="74"/>
      <c r="AD717" s="80" t="s">
        <v>1947</v>
      </c>
      <c r="AE717" s="80" t="s">
        <v>2886</v>
      </c>
      <c r="AF717" s="80" t="s">
        <v>3622</v>
      </c>
      <c r="AG717" s="80" t="s">
        <v>4356</v>
      </c>
      <c r="AH717" s="80" t="s">
        <v>5270</v>
      </c>
      <c r="AI717" s="80">
        <v>167972</v>
      </c>
      <c r="AJ717" s="80">
        <v>380</v>
      </c>
      <c r="AK717" s="80">
        <v>4804</v>
      </c>
      <c r="AL717" s="80">
        <v>325</v>
      </c>
      <c r="AM717" s="80" t="s">
        <v>5614</v>
      </c>
      <c r="AN717" s="102" t="str">
        <f>HYPERLINK("https://www.youtube.com/watch?v=Ds_y_KLSSrM")</f>
        <v>https://www.youtube.com/watch?v=Ds_y_KLSSrM</v>
      </c>
      <c r="AO717" s="2"/>
      <c r="AP717" s="3"/>
      <c r="AQ717" s="3"/>
      <c r="AR717" s="3"/>
      <c r="AS717" s="3"/>
    </row>
    <row r="718" spans="1:45" ht="15">
      <c r="A718" s="66" t="s">
        <v>894</v>
      </c>
      <c r="B718" s="67"/>
      <c r="C718" s="67"/>
      <c r="D718" s="68"/>
      <c r="E718" s="70"/>
      <c r="F718" s="100" t="str">
        <f>HYPERLINK("https://i.ytimg.com/vi/u92_eQ_onDw/default.jpg")</f>
        <v>https://i.ytimg.com/vi/u92_eQ_onDw/default.jpg</v>
      </c>
      <c r="G718" s="67"/>
      <c r="H718" s="71"/>
      <c r="I718" s="72"/>
      <c r="J718" s="72"/>
      <c r="K718" s="71" t="s">
        <v>1948</v>
      </c>
      <c r="L718" s="75"/>
      <c r="M718" s="76">
        <v>5935.388671875</v>
      </c>
      <c r="N718" s="76">
        <v>1844.2098388671875</v>
      </c>
      <c r="O718" s="77"/>
      <c r="P718" s="78"/>
      <c r="Q718" s="78"/>
      <c r="R718" s="82"/>
      <c r="S718" s="82"/>
      <c r="T718" s="82"/>
      <c r="U718" s="82"/>
      <c r="V718" s="52"/>
      <c r="W718" s="52"/>
      <c r="X718" s="52"/>
      <c r="Y718" s="52"/>
      <c r="Z718" s="51"/>
      <c r="AA718" s="73">
        <v>718</v>
      </c>
      <c r="AB718" s="73"/>
      <c r="AC718" s="74"/>
      <c r="AD718" s="80" t="s">
        <v>1948</v>
      </c>
      <c r="AE718" s="80" t="s">
        <v>2887</v>
      </c>
      <c r="AF718" s="80" t="s">
        <v>3623</v>
      </c>
      <c r="AG718" s="80" t="s">
        <v>4357</v>
      </c>
      <c r="AH718" s="80" t="s">
        <v>5271</v>
      </c>
      <c r="AI718" s="80">
        <v>799</v>
      </c>
      <c r="AJ718" s="80">
        <v>0</v>
      </c>
      <c r="AK718" s="80">
        <v>8</v>
      </c>
      <c r="AL718" s="80">
        <v>4</v>
      </c>
      <c r="AM718" s="80" t="s">
        <v>5614</v>
      </c>
      <c r="AN718" s="102" t="str">
        <f>HYPERLINK("https://www.youtube.com/watch?v=u92_eQ_onDw")</f>
        <v>https://www.youtube.com/watch?v=u92_eQ_onDw</v>
      </c>
      <c r="AO718" s="2"/>
      <c r="AP718" s="3"/>
      <c r="AQ718" s="3"/>
      <c r="AR718" s="3"/>
      <c r="AS718" s="3"/>
    </row>
    <row r="719" spans="1:45" ht="15">
      <c r="A719" s="66" t="s">
        <v>895</v>
      </c>
      <c r="B719" s="67"/>
      <c r="C719" s="67"/>
      <c r="D719" s="68"/>
      <c r="E719" s="70"/>
      <c r="F719" s="100" t="str">
        <f>HYPERLINK("https://i.ytimg.com/vi/S2r5nXUu9x8/default.jpg")</f>
        <v>https://i.ytimg.com/vi/S2r5nXUu9x8/default.jpg</v>
      </c>
      <c r="G719" s="67"/>
      <c r="H719" s="71"/>
      <c r="I719" s="72"/>
      <c r="J719" s="72"/>
      <c r="K719" s="71" t="s">
        <v>1949</v>
      </c>
      <c r="L719" s="75"/>
      <c r="M719" s="76">
        <v>6068.365234375</v>
      </c>
      <c r="N719" s="76">
        <v>1742.16162109375</v>
      </c>
      <c r="O719" s="77"/>
      <c r="P719" s="78"/>
      <c r="Q719" s="78"/>
      <c r="R719" s="82"/>
      <c r="S719" s="82"/>
      <c r="T719" s="82"/>
      <c r="U719" s="82"/>
      <c r="V719" s="52"/>
      <c r="W719" s="52"/>
      <c r="X719" s="52"/>
      <c r="Y719" s="52"/>
      <c r="Z719" s="51"/>
      <c r="AA719" s="73">
        <v>719</v>
      </c>
      <c r="AB719" s="73"/>
      <c r="AC719" s="74"/>
      <c r="AD719" s="80" t="s">
        <v>1949</v>
      </c>
      <c r="AE719" s="80"/>
      <c r="AF719" s="80"/>
      <c r="AG719" s="80" t="s">
        <v>4358</v>
      </c>
      <c r="AH719" s="80" t="s">
        <v>5272</v>
      </c>
      <c r="AI719" s="80">
        <v>98526</v>
      </c>
      <c r="AJ719" s="80">
        <v>0</v>
      </c>
      <c r="AK719" s="80">
        <v>525</v>
      </c>
      <c r="AL719" s="80">
        <v>30</v>
      </c>
      <c r="AM719" s="80" t="s">
        <v>5614</v>
      </c>
      <c r="AN719" s="102" t="str">
        <f>HYPERLINK("https://www.youtube.com/watch?v=S2r5nXUu9x8")</f>
        <v>https://www.youtube.com/watch?v=S2r5nXUu9x8</v>
      </c>
      <c r="AO719" s="2"/>
      <c r="AP719" s="3"/>
      <c r="AQ719" s="3"/>
      <c r="AR719" s="3"/>
      <c r="AS719" s="3"/>
    </row>
    <row r="720" spans="1:45" ht="15">
      <c r="A720" s="66" t="s">
        <v>896</v>
      </c>
      <c r="B720" s="67"/>
      <c r="C720" s="67"/>
      <c r="D720" s="68"/>
      <c r="E720" s="70"/>
      <c r="F720" s="100" t="str">
        <f>HYPERLINK("https://i.ytimg.com/vi/EPyqE8bFrCw/default.jpg")</f>
        <v>https://i.ytimg.com/vi/EPyqE8bFrCw/default.jpg</v>
      </c>
      <c r="G720" s="67"/>
      <c r="H720" s="71"/>
      <c r="I720" s="72"/>
      <c r="J720" s="72"/>
      <c r="K720" s="71" t="s">
        <v>1950</v>
      </c>
      <c r="L720" s="75"/>
      <c r="M720" s="76">
        <v>5536.2412109375</v>
      </c>
      <c r="N720" s="76">
        <v>1648.2142333984375</v>
      </c>
      <c r="O720" s="77"/>
      <c r="P720" s="78"/>
      <c r="Q720" s="78"/>
      <c r="R720" s="82"/>
      <c r="S720" s="82"/>
      <c r="T720" s="82"/>
      <c r="U720" s="82"/>
      <c r="V720" s="52"/>
      <c r="W720" s="52"/>
      <c r="X720" s="52"/>
      <c r="Y720" s="52"/>
      <c r="Z720" s="51"/>
      <c r="AA720" s="73">
        <v>720</v>
      </c>
      <c r="AB720" s="73"/>
      <c r="AC720" s="74"/>
      <c r="AD720" s="80" t="s">
        <v>1950</v>
      </c>
      <c r="AE720" s="80" t="s">
        <v>2888</v>
      </c>
      <c r="AF720" s="80" t="s">
        <v>3624</v>
      </c>
      <c r="AG720" s="80" t="s">
        <v>4359</v>
      </c>
      <c r="AH720" s="80" t="s">
        <v>5273</v>
      </c>
      <c r="AI720" s="80">
        <v>719099</v>
      </c>
      <c r="AJ720" s="80">
        <v>459</v>
      </c>
      <c r="AK720" s="80">
        <v>7001</v>
      </c>
      <c r="AL720" s="80">
        <v>298</v>
      </c>
      <c r="AM720" s="80" t="s">
        <v>5614</v>
      </c>
      <c r="AN720" s="102" t="str">
        <f>HYPERLINK("https://www.youtube.com/watch?v=EPyqE8bFrCw")</f>
        <v>https://www.youtube.com/watch?v=EPyqE8bFrCw</v>
      </c>
      <c r="AO720" s="2"/>
      <c r="AP720" s="3"/>
      <c r="AQ720" s="3"/>
      <c r="AR720" s="3"/>
      <c r="AS720" s="3"/>
    </row>
    <row r="721" spans="1:45" ht="15">
      <c r="A721" s="66" t="s">
        <v>897</v>
      </c>
      <c r="B721" s="67"/>
      <c r="C721" s="67"/>
      <c r="D721" s="68"/>
      <c r="E721" s="70"/>
      <c r="F721" s="100" t="str">
        <f>HYPERLINK("https://i.ytimg.com/vi/UaykGWoES8c/default.jpg")</f>
        <v>https://i.ytimg.com/vi/UaykGWoES8c/default.jpg</v>
      </c>
      <c r="G721" s="67"/>
      <c r="H721" s="71"/>
      <c r="I721" s="72"/>
      <c r="J721" s="72"/>
      <c r="K721" s="71" t="s">
        <v>1951</v>
      </c>
      <c r="L721" s="75"/>
      <c r="M721" s="76">
        <v>5967.88623046875</v>
      </c>
      <c r="N721" s="76">
        <v>1797.86669921875</v>
      </c>
      <c r="O721" s="77"/>
      <c r="P721" s="78"/>
      <c r="Q721" s="78"/>
      <c r="R721" s="82"/>
      <c r="S721" s="82"/>
      <c r="T721" s="82"/>
      <c r="U721" s="82"/>
      <c r="V721" s="52"/>
      <c r="W721" s="52"/>
      <c r="X721" s="52"/>
      <c r="Y721" s="52"/>
      <c r="Z721" s="51"/>
      <c r="AA721" s="73">
        <v>721</v>
      </c>
      <c r="AB721" s="73"/>
      <c r="AC721" s="74"/>
      <c r="AD721" s="80" t="s">
        <v>1951</v>
      </c>
      <c r="AE721" s="80" t="s">
        <v>2889</v>
      </c>
      <c r="AF721" s="80" t="s">
        <v>3625</v>
      </c>
      <c r="AG721" s="80" t="s">
        <v>4360</v>
      </c>
      <c r="AH721" s="80" t="s">
        <v>5274</v>
      </c>
      <c r="AI721" s="80">
        <v>18271</v>
      </c>
      <c r="AJ721" s="80">
        <v>0</v>
      </c>
      <c r="AK721" s="80">
        <v>0</v>
      </c>
      <c r="AL721" s="80">
        <v>0</v>
      </c>
      <c r="AM721" s="80" t="s">
        <v>5614</v>
      </c>
      <c r="AN721" s="102" t="str">
        <f>HYPERLINK("https://www.youtube.com/watch?v=UaykGWoES8c")</f>
        <v>https://www.youtube.com/watch?v=UaykGWoES8c</v>
      </c>
      <c r="AO721" s="2"/>
      <c r="AP721" s="3"/>
      <c r="AQ721" s="3"/>
      <c r="AR721" s="3"/>
      <c r="AS721" s="3"/>
    </row>
    <row r="722" spans="1:45" ht="15">
      <c r="A722" s="66" t="s">
        <v>898</v>
      </c>
      <c r="B722" s="67"/>
      <c r="C722" s="67"/>
      <c r="D722" s="68"/>
      <c r="E722" s="70"/>
      <c r="F722" s="100" t="str">
        <f>HYPERLINK("https://i.ytimg.com/vi/ulELAiFY1gE/default.jpg")</f>
        <v>https://i.ytimg.com/vi/ulELAiFY1gE/default.jpg</v>
      </c>
      <c r="G722" s="67"/>
      <c r="H722" s="71"/>
      <c r="I722" s="72"/>
      <c r="J722" s="72"/>
      <c r="K722" s="71" t="s">
        <v>1952</v>
      </c>
      <c r="L722" s="75"/>
      <c r="M722" s="76">
        <v>6086.4013671875</v>
      </c>
      <c r="N722" s="76">
        <v>1771.724365234375</v>
      </c>
      <c r="O722" s="77"/>
      <c r="P722" s="78"/>
      <c r="Q722" s="78"/>
      <c r="R722" s="82"/>
      <c r="S722" s="82"/>
      <c r="T722" s="82"/>
      <c r="U722" s="82"/>
      <c r="V722" s="52"/>
      <c r="W722" s="52"/>
      <c r="X722" s="52"/>
      <c r="Y722" s="52"/>
      <c r="Z722" s="51"/>
      <c r="AA722" s="73">
        <v>722</v>
      </c>
      <c r="AB722" s="73"/>
      <c r="AC722" s="74"/>
      <c r="AD722" s="80" t="s">
        <v>1952</v>
      </c>
      <c r="AE722" s="80" t="s">
        <v>2890</v>
      </c>
      <c r="AF722" s="80" t="s">
        <v>3626</v>
      </c>
      <c r="AG722" s="80" t="s">
        <v>4361</v>
      </c>
      <c r="AH722" s="80" t="s">
        <v>5275</v>
      </c>
      <c r="AI722" s="80">
        <v>337</v>
      </c>
      <c r="AJ722" s="80">
        <v>1</v>
      </c>
      <c r="AK722" s="80">
        <v>5</v>
      </c>
      <c r="AL722" s="80">
        <v>1</v>
      </c>
      <c r="AM722" s="80" t="s">
        <v>5614</v>
      </c>
      <c r="AN722" s="102" t="str">
        <f>HYPERLINK("https://www.youtube.com/watch?v=ulELAiFY1gE")</f>
        <v>https://www.youtube.com/watch?v=ulELAiFY1gE</v>
      </c>
      <c r="AO722" s="2"/>
      <c r="AP722" s="3"/>
      <c r="AQ722" s="3"/>
      <c r="AR722" s="3"/>
      <c r="AS722" s="3"/>
    </row>
    <row r="723" spans="1:45" ht="15">
      <c r="A723" s="66" t="s">
        <v>899</v>
      </c>
      <c r="B723" s="67"/>
      <c r="C723" s="67"/>
      <c r="D723" s="68"/>
      <c r="E723" s="70"/>
      <c r="F723" s="100" t="str">
        <f>HYPERLINK("https://i.ytimg.com/vi/h40pXhuyNRM/default.jpg")</f>
        <v>https://i.ytimg.com/vi/h40pXhuyNRM/default.jpg</v>
      </c>
      <c r="G723" s="67"/>
      <c r="H723" s="71"/>
      <c r="I723" s="72"/>
      <c r="J723" s="72"/>
      <c r="K723" s="71" t="s">
        <v>1953</v>
      </c>
      <c r="L723" s="75"/>
      <c r="M723" s="76">
        <v>3374.790283203125</v>
      </c>
      <c r="N723" s="76">
        <v>3378.660400390625</v>
      </c>
      <c r="O723" s="77"/>
      <c r="P723" s="78"/>
      <c r="Q723" s="78"/>
      <c r="R723" s="82"/>
      <c r="S723" s="82"/>
      <c r="T723" s="82"/>
      <c r="U723" s="82"/>
      <c r="V723" s="52"/>
      <c r="W723" s="52"/>
      <c r="X723" s="52"/>
      <c r="Y723" s="52"/>
      <c r="Z723" s="51"/>
      <c r="AA723" s="73">
        <v>723</v>
      </c>
      <c r="AB723" s="73"/>
      <c r="AC723" s="74"/>
      <c r="AD723" s="80" t="s">
        <v>1953</v>
      </c>
      <c r="AE723" s="80" t="s">
        <v>2891</v>
      </c>
      <c r="AF723" s="80" t="s">
        <v>3627</v>
      </c>
      <c r="AG723" s="80" t="s">
        <v>4362</v>
      </c>
      <c r="AH723" s="80" t="s">
        <v>5276</v>
      </c>
      <c r="AI723" s="80">
        <v>635708</v>
      </c>
      <c r="AJ723" s="80">
        <v>39</v>
      </c>
      <c r="AK723" s="80">
        <v>6283</v>
      </c>
      <c r="AL723" s="80">
        <v>603</v>
      </c>
      <c r="AM723" s="80" t="s">
        <v>5614</v>
      </c>
      <c r="AN723" s="102" t="str">
        <f>HYPERLINK("https://www.youtube.com/watch?v=h40pXhuyNRM")</f>
        <v>https://www.youtube.com/watch?v=h40pXhuyNRM</v>
      </c>
      <c r="AO723" s="2"/>
      <c r="AP723" s="3"/>
      <c r="AQ723" s="3"/>
      <c r="AR723" s="3"/>
      <c r="AS723" s="3"/>
    </row>
    <row r="724" spans="1:45" ht="15">
      <c r="A724" s="66" t="s">
        <v>900</v>
      </c>
      <c r="B724" s="67"/>
      <c r="C724" s="67"/>
      <c r="D724" s="68"/>
      <c r="E724" s="70"/>
      <c r="F724" s="100" t="str">
        <f>HYPERLINK("https://i.ytimg.com/vi/mCh1okJuEko/default.jpg")</f>
        <v>https://i.ytimg.com/vi/mCh1okJuEko/default.jpg</v>
      </c>
      <c r="G724" s="67"/>
      <c r="H724" s="71"/>
      <c r="I724" s="72"/>
      <c r="J724" s="72"/>
      <c r="K724" s="71" t="s">
        <v>1954</v>
      </c>
      <c r="L724" s="75"/>
      <c r="M724" s="76">
        <v>5208.93017578125</v>
      </c>
      <c r="N724" s="76">
        <v>4959.79296875</v>
      </c>
      <c r="O724" s="77"/>
      <c r="P724" s="78"/>
      <c r="Q724" s="78"/>
      <c r="R724" s="82"/>
      <c r="S724" s="82"/>
      <c r="T724" s="82"/>
      <c r="U724" s="82"/>
      <c r="V724" s="52"/>
      <c r="W724" s="52"/>
      <c r="X724" s="52"/>
      <c r="Y724" s="52"/>
      <c r="Z724" s="51"/>
      <c r="AA724" s="73">
        <v>724</v>
      </c>
      <c r="AB724" s="73"/>
      <c r="AC724" s="74"/>
      <c r="AD724" s="80" t="s">
        <v>1954</v>
      </c>
      <c r="AE724" s="80" t="s">
        <v>2892</v>
      </c>
      <c r="AF724" s="80" t="s">
        <v>3628</v>
      </c>
      <c r="AG724" s="80" t="s">
        <v>4363</v>
      </c>
      <c r="AH724" s="80" t="s">
        <v>5277</v>
      </c>
      <c r="AI724" s="80">
        <v>680968</v>
      </c>
      <c r="AJ724" s="80">
        <v>107</v>
      </c>
      <c r="AK724" s="80">
        <v>4061</v>
      </c>
      <c r="AL724" s="80">
        <v>328</v>
      </c>
      <c r="AM724" s="80" t="s">
        <v>5614</v>
      </c>
      <c r="AN724" s="102" t="str">
        <f>HYPERLINK("https://www.youtube.com/watch?v=mCh1okJuEko")</f>
        <v>https://www.youtube.com/watch?v=mCh1okJuEko</v>
      </c>
      <c r="AO724" s="2"/>
      <c r="AP724" s="3"/>
      <c r="AQ724" s="3"/>
      <c r="AR724" s="3"/>
      <c r="AS724" s="3"/>
    </row>
    <row r="725" spans="1:45" ht="15">
      <c r="A725" s="66" t="s">
        <v>901</v>
      </c>
      <c r="B725" s="67"/>
      <c r="C725" s="67"/>
      <c r="D725" s="68"/>
      <c r="E725" s="70"/>
      <c r="F725" s="100" t="str">
        <f>HYPERLINK("https://i.ytimg.com/vi/tQEKPHefqJY/default.jpg")</f>
        <v>https://i.ytimg.com/vi/tQEKPHefqJY/default.jpg</v>
      </c>
      <c r="G725" s="67"/>
      <c r="H725" s="71"/>
      <c r="I725" s="72"/>
      <c r="J725" s="72"/>
      <c r="K725" s="71" t="s">
        <v>1955</v>
      </c>
      <c r="L725" s="75"/>
      <c r="M725" s="76">
        <v>5470.79052734375</v>
      </c>
      <c r="N725" s="76">
        <v>1810.8939208984375</v>
      </c>
      <c r="O725" s="77"/>
      <c r="P725" s="78"/>
      <c r="Q725" s="78"/>
      <c r="R725" s="82"/>
      <c r="S725" s="82"/>
      <c r="T725" s="82"/>
      <c r="U725" s="82"/>
      <c r="V725" s="52"/>
      <c r="W725" s="52"/>
      <c r="X725" s="52"/>
      <c r="Y725" s="52"/>
      <c r="Z725" s="51"/>
      <c r="AA725" s="73">
        <v>725</v>
      </c>
      <c r="AB725" s="73"/>
      <c r="AC725" s="74"/>
      <c r="AD725" s="80" t="s">
        <v>1955</v>
      </c>
      <c r="AE725" s="80" t="s">
        <v>2893</v>
      </c>
      <c r="AF725" s="80" t="s">
        <v>3629</v>
      </c>
      <c r="AG725" s="80" t="s">
        <v>4364</v>
      </c>
      <c r="AH725" s="80" t="s">
        <v>5278</v>
      </c>
      <c r="AI725" s="80">
        <v>3333127</v>
      </c>
      <c r="AJ725" s="80">
        <v>4224</v>
      </c>
      <c r="AK725" s="80">
        <v>51683</v>
      </c>
      <c r="AL725" s="80">
        <v>3195</v>
      </c>
      <c r="AM725" s="80" t="s">
        <v>5614</v>
      </c>
      <c r="AN725" s="102" t="str">
        <f>HYPERLINK("https://www.youtube.com/watch?v=tQEKPHefqJY")</f>
        <v>https://www.youtube.com/watch?v=tQEKPHefqJY</v>
      </c>
      <c r="AO725" s="2"/>
      <c r="AP725" s="3"/>
      <c r="AQ725" s="3"/>
      <c r="AR725" s="3"/>
      <c r="AS725" s="3"/>
    </row>
    <row r="726" spans="1:45" ht="15">
      <c r="A726" s="66" t="s">
        <v>902</v>
      </c>
      <c r="B726" s="67"/>
      <c r="C726" s="67"/>
      <c r="D726" s="68"/>
      <c r="E726" s="70"/>
      <c r="F726" s="100" t="str">
        <f>HYPERLINK("https://i.ytimg.com/vi/xVZ38RgvWlM/default.jpg")</f>
        <v>https://i.ytimg.com/vi/xVZ38RgvWlM/default.jpg</v>
      </c>
      <c r="G726" s="67"/>
      <c r="H726" s="71"/>
      <c r="I726" s="72"/>
      <c r="J726" s="72"/>
      <c r="K726" s="71" t="s">
        <v>1956</v>
      </c>
      <c r="L726" s="75"/>
      <c r="M726" s="76">
        <v>5703.1796875</v>
      </c>
      <c r="N726" s="76">
        <v>1779.31982421875</v>
      </c>
      <c r="O726" s="77"/>
      <c r="P726" s="78"/>
      <c r="Q726" s="78"/>
      <c r="R726" s="82"/>
      <c r="S726" s="82"/>
      <c r="T726" s="82"/>
      <c r="U726" s="82"/>
      <c r="V726" s="52"/>
      <c r="W726" s="52"/>
      <c r="X726" s="52"/>
      <c r="Y726" s="52"/>
      <c r="Z726" s="51"/>
      <c r="AA726" s="73">
        <v>726</v>
      </c>
      <c r="AB726" s="73"/>
      <c r="AC726" s="74"/>
      <c r="AD726" s="80" t="s">
        <v>1956</v>
      </c>
      <c r="AE726" s="80" t="s">
        <v>2894</v>
      </c>
      <c r="AF726" s="80" t="s">
        <v>3630</v>
      </c>
      <c r="AG726" s="80" t="s">
        <v>3899</v>
      </c>
      <c r="AH726" s="80" t="s">
        <v>5279</v>
      </c>
      <c r="AI726" s="80">
        <v>69404</v>
      </c>
      <c r="AJ726" s="80">
        <v>19</v>
      </c>
      <c r="AK726" s="80">
        <v>1670</v>
      </c>
      <c r="AL726" s="80">
        <v>57</v>
      </c>
      <c r="AM726" s="80" t="s">
        <v>5614</v>
      </c>
      <c r="AN726" s="102" t="str">
        <f>HYPERLINK("https://www.youtube.com/watch?v=xVZ38RgvWlM")</f>
        <v>https://www.youtube.com/watch?v=xVZ38RgvWlM</v>
      </c>
      <c r="AO726" s="2"/>
      <c r="AP726" s="3"/>
      <c r="AQ726" s="3"/>
      <c r="AR726" s="3"/>
      <c r="AS726" s="3"/>
    </row>
    <row r="727" spans="1:45" ht="15">
      <c r="A727" s="66" t="s">
        <v>903</v>
      </c>
      <c r="B727" s="67"/>
      <c r="C727" s="67"/>
      <c r="D727" s="68"/>
      <c r="E727" s="70"/>
      <c r="F727" s="100" t="str">
        <f>HYPERLINK("https://i.ytimg.com/vi/VjVmPBffaQk/default.jpg")</f>
        <v>https://i.ytimg.com/vi/VjVmPBffaQk/default.jpg</v>
      </c>
      <c r="G727" s="67"/>
      <c r="H727" s="71"/>
      <c r="I727" s="72"/>
      <c r="J727" s="72"/>
      <c r="K727" s="71" t="s">
        <v>1957</v>
      </c>
      <c r="L727" s="75"/>
      <c r="M727" s="76">
        <v>6211.2236328125</v>
      </c>
      <c r="N727" s="76">
        <v>1686.983642578125</v>
      </c>
      <c r="O727" s="77"/>
      <c r="P727" s="78"/>
      <c r="Q727" s="78"/>
      <c r="R727" s="82"/>
      <c r="S727" s="82"/>
      <c r="T727" s="82"/>
      <c r="U727" s="82"/>
      <c r="V727" s="52"/>
      <c r="W727" s="52"/>
      <c r="X727" s="52"/>
      <c r="Y727" s="52"/>
      <c r="Z727" s="51"/>
      <c r="AA727" s="73">
        <v>727</v>
      </c>
      <c r="AB727" s="73"/>
      <c r="AC727" s="74"/>
      <c r="AD727" s="80" t="s">
        <v>1957</v>
      </c>
      <c r="AE727" s="80" t="s">
        <v>2895</v>
      </c>
      <c r="AF727" s="80" t="s">
        <v>3631</v>
      </c>
      <c r="AG727" s="80" t="s">
        <v>3884</v>
      </c>
      <c r="AH727" s="80" t="s">
        <v>5280</v>
      </c>
      <c r="AI727" s="80">
        <v>5106</v>
      </c>
      <c r="AJ727" s="80">
        <v>1</v>
      </c>
      <c r="AK727" s="80">
        <v>72</v>
      </c>
      <c r="AL727" s="80">
        <v>4</v>
      </c>
      <c r="AM727" s="80" t="s">
        <v>5614</v>
      </c>
      <c r="AN727" s="102" t="str">
        <f>HYPERLINK("https://www.youtube.com/watch?v=VjVmPBffaQk")</f>
        <v>https://www.youtube.com/watch?v=VjVmPBffaQk</v>
      </c>
      <c r="AO727" s="2"/>
      <c r="AP727" s="3"/>
      <c r="AQ727" s="3"/>
      <c r="AR727" s="3"/>
      <c r="AS727" s="3"/>
    </row>
    <row r="728" spans="1:45" ht="15">
      <c r="A728" s="66" t="s">
        <v>904</v>
      </c>
      <c r="B728" s="67"/>
      <c r="C728" s="67"/>
      <c r="D728" s="68"/>
      <c r="E728" s="70"/>
      <c r="F728" s="100" t="str">
        <f>HYPERLINK("https://i.ytimg.com/vi/F8Jtw13FCAA/default.jpg")</f>
        <v>https://i.ytimg.com/vi/F8Jtw13FCAA/default.jpg</v>
      </c>
      <c r="G728" s="67"/>
      <c r="H728" s="71"/>
      <c r="I728" s="72"/>
      <c r="J728" s="72"/>
      <c r="K728" s="71" t="s">
        <v>1958</v>
      </c>
      <c r="L728" s="75"/>
      <c r="M728" s="76">
        <v>5406.77001953125</v>
      </c>
      <c r="N728" s="76">
        <v>1751.06591796875</v>
      </c>
      <c r="O728" s="77"/>
      <c r="P728" s="78"/>
      <c r="Q728" s="78"/>
      <c r="R728" s="82"/>
      <c r="S728" s="82"/>
      <c r="T728" s="82"/>
      <c r="U728" s="82"/>
      <c r="V728" s="52"/>
      <c r="W728" s="52"/>
      <c r="X728" s="52"/>
      <c r="Y728" s="52"/>
      <c r="Z728" s="51"/>
      <c r="AA728" s="73">
        <v>728</v>
      </c>
      <c r="AB728" s="73"/>
      <c r="AC728" s="74"/>
      <c r="AD728" s="80" t="s">
        <v>1958</v>
      </c>
      <c r="AE728" s="80" t="s">
        <v>2896</v>
      </c>
      <c r="AF728" s="80" t="s">
        <v>3632</v>
      </c>
      <c r="AG728" s="80" t="s">
        <v>4365</v>
      </c>
      <c r="AH728" s="80" t="s">
        <v>5281</v>
      </c>
      <c r="AI728" s="80">
        <v>649139</v>
      </c>
      <c r="AJ728" s="80">
        <v>644</v>
      </c>
      <c r="AK728" s="80">
        <v>4379</v>
      </c>
      <c r="AL728" s="80">
        <v>729</v>
      </c>
      <c r="AM728" s="80" t="s">
        <v>5614</v>
      </c>
      <c r="AN728" s="102" t="str">
        <f>HYPERLINK("https://www.youtube.com/watch?v=F8Jtw13FCAA")</f>
        <v>https://www.youtube.com/watch?v=F8Jtw13FCAA</v>
      </c>
      <c r="AO728" s="2"/>
      <c r="AP728" s="3"/>
      <c r="AQ728" s="3"/>
      <c r="AR728" s="3"/>
      <c r="AS728" s="3"/>
    </row>
    <row r="729" spans="1:45" ht="15">
      <c r="A729" s="66" t="s">
        <v>905</v>
      </c>
      <c r="B729" s="67"/>
      <c r="C729" s="67"/>
      <c r="D729" s="68"/>
      <c r="E729" s="70"/>
      <c r="F729" s="100" t="str">
        <f>HYPERLINK("https://i.ytimg.com/vi/nhYbhvnROwU/default.jpg")</f>
        <v>https://i.ytimg.com/vi/nhYbhvnROwU/default.jpg</v>
      </c>
      <c r="G729" s="67"/>
      <c r="H729" s="71"/>
      <c r="I729" s="72"/>
      <c r="J729" s="72"/>
      <c r="K729" s="71" t="s">
        <v>1959</v>
      </c>
      <c r="L729" s="75"/>
      <c r="M729" s="76">
        <v>6027.4677734375</v>
      </c>
      <c r="N729" s="76">
        <v>2755.924560546875</v>
      </c>
      <c r="O729" s="77"/>
      <c r="P729" s="78"/>
      <c r="Q729" s="78"/>
      <c r="R729" s="82"/>
      <c r="S729" s="82"/>
      <c r="T729" s="82"/>
      <c r="U729" s="82"/>
      <c r="V729" s="52"/>
      <c r="W729" s="52"/>
      <c r="X729" s="52"/>
      <c r="Y729" s="52"/>
      <c r="Z729" s="51"/>
      <c r="AA729" s="73">
        <v>729</v>
      </c>
      <c r="AB729" s="73"/>
      <c r="AC729" s="74"/>
      <c r="AD729" s="80" t="s">
        <v>1959</v>
      </c>
      <c r="AE729" s="80" t="s">
        <v>2897</v>
      </c>
      <c r="AF729" s="80" t="s">
        <v>3633</v>
      </c>
      <c r="AG729" s="80" t="s">
        <v>4366</v>
      </c>
      <c r="AH729" s="80" t="s">
        <v>5282</v>
      </c>
      <c r="AI729" s="80">
        <v>339105</v>
      </c>
      <c r="AJ729" s="80">
        <v>247</v>
      </c>
      <c r="AK729" s="80">
        <v>2116</v>
      </c>
      <c r="AL729" s="80">
        <v>71</v>
      </c>
      <c r="AM729" s="80" t="s">
        <v>5614</v>
      </c>
      <c r="AN729" s="102" t="str">
        <f>HYPERLINK("https://www.youtube.com/watch?v=nhYbhvnROwU")</f>
        <v>https://www.youtube.com/watch?v=nhYbhvnROwU</v>
      </c>
      <c r="AO729" s="2"/>
      <c r="AP729" s="3"/>
      <c r="AQ729" s="3"/>
      <c r="AR729" s="3"/>
      <c r="AS729" s="3"/>
    </row>
    <row r="730" spans="1:45" ht="15">
      <c r="A730" s="66" t="s">
        <v>906</v>
      </c>
      <c r="B730" s="67"/>
      <c r="C730" s="67"/>
      <c r="D730" s="68"/>
      <c r="E730" s="70"/>
      <c r="F730" s="100" t="str">
        <f>HYPERLINK("https://i.ytimg.com/vi/UhntoeUVuyM/default.jpg")</f>
        <v>https://i.ytimg.com/vi/UhntoeUVuyM/default.jpg</v>
      </c>
      <c r="G730" s="67"/>
      <c r="H730" s="71"/>
      <c r="I730" s="72"/>
      <c r="J730" s="72"/>
      <c r="K730" s="71" t="s">
        <v>1960</v>
      </c>
      <c r="L730" s="75"/>
      <c r="M730" s="76">
        <v>5686.40283203125</v>
      </c>
      <c r="N730" s="76">
        <v>1870.194580078125</v>
      </c>
      <c r="O730" s="77"/>
      <c r="P730" s="78"/>
      <c r="Q730" s="78"/>
      <c r="R730" s="82"/>
      <c r="S730" s="82"/>
      <c r="T730" s="82"/>
      <c r="U730" s="82"/>
      <c r="V730" s="52"/>
      <c r="W730" s="52"/>
      <c r="X730" s="52"/>
      <c r="Y730" s="52"/>
      <c r="Z730" s="51"/>
      <c r="AA730" s="73">
        <v>730</v>
      </c>
      <c r="AB730" s="73"/>
      <c r="AC730" s="74"/>
      <c r="AD730" s="80" t="s">
        <v>1960</v>
      </c>
      <c r="AE730" s="80" t="s">
        <v>2898</v>
      </c>
      <c r="AF730" s="80" t="s">
        <v>3634</v>
      </c>
      <c r="AG730" s="80" t="s">
        <v>4053</v>
      </c>
      <c r="AH730" s="80" t="s">
        <v>5283</v>
      </c>
      <c r="AI730" s="80">
        <v>21603</v>
      </c>
      <c r="AJ730" s="80">
        <v>0</v>
      </c>
      <c r="AK730" s="80">
        <v>236</v>
      </c>
      <c r="AL730" s="80">
        <v>8</v>
      </c>
      <c r="AM730" s="80" t="s">
        <v>5614</v>
      </c>
      <c r="AN730" s="102" t="str">
        <f>HYPERLINK("https://www.youtube.com/watch?v=UhntoeUVuyM")</f>
        <v>https://www.youtube.com/watch?v=UhntoeUVuyM</v>
      </c>
      <c r="AO730" s="2"/>
      <c r="AP730" s="3"/>
      <c r="AQ730" s="3"/>
      <c r="AR730" s="3"/>
      <c r="AS730" s="3"/>
    </row>
    <row r="731" spans="1:45" ht="15">
      <c r="A731" s="66" t="s">
        <v>907</v>
      </c>
      <c r="B731" s="67"/>
      <c r="C731" s="67"/>
      <c r="D731" s="68"/>
      <c r="E731" s="70"/>
      <c r="F731" s="100" t="str">
        <f>HYPERLINK("https://i.ytimg.com/vi/j9Jq6K3FPCw/default.jpg")</f>
        <v>https://i.ytimg.com/vi/j9Jq6K3FPCw/default.jpg</v>
      </c>
      <c r="G731" s="67"/>
      <c r="H731" s="71"/>
      <c r="I731" s="72"/>
      <c r="J731" s="72"/>
      <c r="K731" s="71" t="s">
        <v>1961</v>
      </c>
      <c r="L731" s="75"/>
      <c r="M731" s="76">
        <v>5933.642578125</v>
      </c>
      <c r="N731" s="76">
        <v>1704.1668701171875</v>
      </c>
      <c r="O731" s="77"/>
      <c r="P731" s="78"/>
      <c r="Q731" s="78"/>
      <c r="R731" s="82"/>
      <c r="S731" s="82"/>
      <c r="T731" s="82"/>
      <c r="U731" s="82"/>
      <c r="V731" s="52"/>
      <c r="W731" s="52"/>
      <c r="X731" s="52"/>
      <c r="Y731" s="52"/>
      <c r="Z731" s="51"/>
      <c r="AA731" s="73">
        <v>731</v>
      </c>
      <c r="AB731" s="73"/>
      <c r="AC731" s="74"/>
      <c r="AD731" s="80" t="s">
        <v>1961</v>
      </c>
      <c r="AE731" s="80"/>
      <c r="AF731" s="80" t="s">
        <v>3635</v>
      </c>
      <c r="AG731" s="80" t="s">
        <v>4367</v>
      </c>
      <c r="AH731" s="80" t="s">
        <v>5284</v>
      </c>
      <c r="AI731" s="80">
        <v>399</v>
      </c>
      <c r="AJ731" s="80">
        <v>2</v>
      </c>
      <c r="AK731" s="80">
        <v>11</v>
      </c>
      <c r="AL731" s="80">
        <v>0</v>
      </c>
      <c r="AM731" s="80" t="s">
        <v>5614</v>
      </c>
      <c r="AN731" s="102" t="str">
        <f>HYPERLINK("https://www.youtube.com/watch?v=j9Jq6K3FPCw")</f>
        <v>https://www.youtube.com/watch?v=j9Jq6K3FPCw</v>
      </c>
      <c r="AO731" s="2"/>
      <c r="AP731" s="3"/>
      <c r="AQ731" s="3"/>
      <c r="AR731" s="3"/>
      <c r="AS731" s="3"/>
    </row>
    <row r="732" spans="1:45" ht="15">
      <c r="A732" s="66" t="s">
        <v>908</v>
      </c>
      <c r="B732" s="67"/>
      <c r="C732" s="67"/>
      <c r="D732" s="68"/>
      <c r="E732" s="70"/>
      <c r="F732" s="100" t="str">
        <f>HYPERLINK("https://i.ytimg.com/vi/OP2G6pPZXls/default.jpg")</f>
        <v>https://i.ytimg.com/vi/OP2G6pPZXls/default.jpg</v>
      </c>
      <c r="G732" s="67"/>
      <c r="H732" s="71"/>
      <c r="I732" s="72"/>
      <c r="J732" s="72"/>
      <c r="K732" s="71" t="s">
        <v>1962</v>
      </c>
      <c r="L732" s="75"/>
      <c r="M732" s="76">
        <v>5667.154296875</v>
      </c>
      <c r="N732" s="76">
        <v>1791.41455078125</v>
      </c>
      <c r="O732" s="77"/>
      <c r="P732" s="78"/>
      <c r="Q732" s="78"/>
      <c r="R732" s="82"/>
      <c r="S732" s="82"/>
      <c r="T732" s="82"/>
      <c r="U732" s="82"/>
      <c r="V732" s="52"/>
      <c r="W732" s="52"/>
      <c r="X732" s="52"/>
      <c r="Y732" s="52"/>
      <c r="Z732" s="51"/>
      <c r="AA732" s="73">
        <v>732</v>
      </c>
      <c r="AB732" s="73"/>
      <c r="AC732" s="74"/>
      <c r="AD732" s="80" t="s">
        <v>1962</v>
      </c>
      <c r="AE732" s="80" t="s">
        <v>2899</v>
      </c>
      <c r="AF732" s="80" t="s">
        <v>3636</v>
      </c>
      <c r="AG732" s="80" t="s">
        <v>4368</v>
      </c>
      <c r="AH732" s="80" t="s">
        <v>5285</v>
      </c>
      <c r="AI732" s="80">
        <v>1692343</v>
      </c>
      <c r="AJ732" s="80">
        <v>2333</v>
      </c>
      <c r="AK732" s="80">
        <v>15330</v>
      </c>
      <c r="AL732" s="80">
        <v>1006</v>
      </c>
      <c r="AM732" s="80" t="s">
        <v>5614</v>
      </c>
      <c r="AN732" s="102" t="str">
        <f>HYPERLINK("https://www.youtube.com/watch?v=OP2G6pPZXls")</f>
        <v>https://www.youtube.com/watch?v=OP2G6pPZXls</v>
      </c>
      <c r="AO732" s="2"/>
      <c r="AP732" s="3"/>
      <c r="AQ732" s="3"/>
      <c r="AR732" s="3"/>
      <c r="AS732" s="3"/>
    </row>
    <row r="733" spans="1:45" ht="15">
      <c r="A733" s="66" t="s">
        <v>909</v>
      </c>
      <c r="B733" s="67"/>
      <c r="C733" s="67"/>
      <c r="D733" s="68"/>
      <c r="E733" s="70"/>
      <c r="F733" s="100" t="str">
        <f>HYPERLINK("https://i.ytimg.com/vi/hpxMnUmofSc/default.jpg")</f>
        <v>https://i.ytimg.com/vi/hpxMnUmofSc/default.jpg</v>
      </c>
      <c r="G733" s="67"/>
      <c r="H733" s="71"/>
      <c r="I733" s="72"/>
      <c r="J733" s="72"/>
      <c r="K733" s="71" t="s">
        <v>1963</v>
      </c>
      <c r="L733" s="75"/>
      <c r="M733" s="76">
        <v>5855.95751953125</v>
      </c>
      <c r="N733" s="76">
        <v>1728.28857421875</v>
      </c>
      <c r="O733" s="77"/>
      <c r="P733" s="78"/>
      <c r="Q733" s="78"/>
      <c r="R733" s="82"/>
      <c r="S733" s="82"/>
      <c r="T733" s="82"/>
      <c r="U733" s="82"/>
      <c r="V733" s="52"/>
      <c r="W733" s="52"/>
      <c r="X733" s="52"/>
      <c r="Y733" s="52"/>
      <c r="Z733" s="51"/>
      <c r="AA733" s="73">
        <v>733</v>
      </c>
      <c r="AB733" s="73"/>
      <c r="AC733" s="74"/>
      <c r="AD733" s="80" t="s">
        <v>1963</v>
      </c>
      <c r="AE733" s="80" t="s">
        <v>2900</v>
      </c>
      <c r="AF733" s="80" t="s">
        <v>3637</v>
      </c>
      <c r="AG733" s="80" t="s">
        <v>4369</v>
      </c>
      <c r="AH733" s="80" t="s">
        <v>5286</v>
      </c>
      <c r="AI733" s="80">
        <v>24487</v>
      </c>
      <c r="AJ733" s="80">
        <v>18</v>
      </c>
      <c r="AK733" s="80">
        <v>412</v>
      </c>
      <c r="AL733" s="80">
        <v>20</v>
      </c>
      <c r="AM733" s="80" t="s">
        <v>5614</v>
      </c>
      <c r="AN733" s="102" t="str">
        <f>HYPERLINK("https://www.youtube.com/watch?v=hpxMnUmofSc")</f>
        <v>https://www.youtube.com/watch?v=hpxMnUmofSc</v>
      </c>
      <c r="AO733" s="2"/>
      <c r="AP733" s="3"/>
      <c r="AQ733" s="3"/>
      <c r="AR733" s="3"/>
      <c r="AS733" s="3"/>
    </row>
    <row r="734" spans="1:45" ht="15">
      <c r="A734" s="66" t="s">
        <v>910</v>
      </c>
      <c r="B734" s="67"/>
      <c r="C734" s="67"/>
      <c r="D734" s="68"/>
      <c r="E734" s="70"/>
      <c r="F734" s="100" t="str">
        <f>HYPERLINK("https://i.ytimg.com/vi/0IbMChN8RVQ/default.jpg")</f>
        <v>https://i.ytimg.com/vi/0IbMChN8RVQ/default.jpg</v>
      </c>
      <c r="G734" s="67"/>
      <c r="H734" s="71"/>
      <c r="I734" s="72"/>
      <c r="J734" s="72"/>
      <c r="K734" s="71" t="s">
        <v>1964</v>
      </c>
      <c r="L734" s="75"/>
      <c r="M734" s="76">
        <v>6206.126953125</v>
      </c>
      <c r="N734" s="76">
        <v>1781.2718505859375</v>
      </c>
      <c r="O734" s="77"/>
      <c r="P734" s="78"/>
      <c r="Q734" s="78"/>
      <c r="R734" s="82"/>
      <c r="S734" s="82"/>
      <c r="T734" s="82"/>
      <c r="U734" s="82"/>
      <c r="V734" s="52"/>
      <c r="W734" s="52"/>
      <c r="X734" s="52"/>
      <c r="Y734" s="52"/>
      <c r="Z734" s="51"/>
      <c r="AA734" s="73">
        <v>734</v>
      </c>
      <c r="AB734" s="73"/>
      <c r="AC734" s="74"/>
      <c r="AD734" s="80" t="s">
        <v>1964</v>
      </c>
      <c r="AE734" s="80" t="s">
        <v>2901</v>
      </c>
      <c r="AF734" s="80" t="s">
        <v>3638</v>
      </c>
      <c r="AG734" s="80" t="s">
        <v>4370</v>
      </c>
      <c r="AH734" s="80" t="s">
        <v>5287</v>
      </c>
      <c r="AI734" s="80">
        <v>15826</v>
      </c>
      <c r="AJ734" s="80">
        <v>2</v>
      </c>
      <c r="AK734" s="80">
        <v>55</v>
      </c>
      <c r="AL734" s="80">
        <v>6</v>
      </c>
      <c r="AM734" s="80" t="s">
        <v>5614</v>
      </c>
      <c r="AN734" s="102" t="str">
        <f>HYPERLINK("https://www.youtube.com/watch?v=0IbMChN8RVQ")</f>
        <v>https://www.youtube.com/watch?v=0IbMChN8RVQ</v>
      </c>
      <c r="AO734" s="2"/>
      <c r="AP734" s="3"/>
      <c r="AQ734" s="3"/>
      <c r="AR734" s="3"/>
      <c r="AS734" s="3"/>
    </row>
    <row r="735" spans="1:45" ht="15">
      <c r="A735" s="66" t="s">
        <v>911</v>
      </c>
      <c r="B735" s="67"/>
      <c r="C735" s="67"/>
      <c r="D735" s="68"/>
      <c r="E735" s="70"/>
      <c r="F735" s="100" t="str">
        <f>HYPERLINK("https://i.ytimg.com/vi/HK3x9xl6j-o/default.jpg")</f>
        <v>https://i.ytimg.com/vi/HK3x9xl6j-o/default.jpg</v>
      </c>
      <c r="G735" s="67"/>
      <c r="H735" s="71"/>
      <c r="I735" s="72"/>
      <c r="J735" s="72"/>
      <c r="K735" s="71" t="s">
        <v>1965</v>
      </c>
      <c r="L735" s="75"/>
      <c r="M735" s="76">
        <v>2511.2041015625</v>
      </c>
      <c r="N735" s="76">
        <v>3642.246826171875</v>
      </c>
      <c r="O735" s="77"/>
      <c r="P735" s="78"/>
      <c r="Q735" s="78"/>
      <c r="R735" s="82"/>
      <c r="S735" s="82"/>
      <c r="T735" s="82"/>
      <c r="U735" s="82"/>
      <c r="V735" s="52"/>
      <c r="W735" s="52"/>
      <c r="X735" s="52"/>
      <c r="Y735" s="52"/>
      <c r="Z735" s="51"/>
      <c r="AA735" s="73">
        <v>735</v>
      </c>
      <c r="AB735" s="73"/>
      <c r="AC735" s="74"/>
      <c r="AD735" s="80" t="s">
        <v>1965</v>
      </c>
      <c r="AE735" s="80" t="s">
        <v>2902</v>
      </c>
      <c r="AF735" s="80" t="s">
        <v>3639</v>
      </c>
      <c r="AG735" s="80" t="s">
        <v>4371</v>
      </c>
      <c r="AH735" s="80" t="s">
        <v>5288</v>
      </c>
      <c r="AI735" s="80">
        <v>1330489</v>
      </c>
      <c r="AJ735" s="80">
        <v>173</v>
      </c>
      <c r="AK735" s="80">
        <v>5163</v>
      </c>
      <c r="AL735" s="80">
        <v>1010</v>
      </c>
      <c r="AM735" s="80" t="s">
        <v>5614</v>
      </c>
      <c r="AN735" s="102" t="str">
        <f>HYPERLINK("https://www.youtube.com/watch?v=HK3x9xl6j-o")</f>
        <v>https://www.youtube.com/watch?v=HK3x9xl6j-o</v>
      </c>
      <c r="AO735" s="2"/>
      <c r="AP735" s="3"/>
      <c r="AQ735" s="3"/>
      <c r="AR735" s="3"/>
      <c r="AS735" s="3"/>
    </row>
    <row r="736" spans="1:45" ht="15">
      <c r="A736" s="66" t="s">
        <v>912</v>
      </c>
      <c r="B736" s="67"/>
      <c r="C736" s="67"/>
      <c r="D736" s="68"/>
      <c r="E736" s="70"/>
      <c r="F736" s="100" t="str">
        <f>HYPERLINK("https://i.ytimg.com/vi/HZzIcjXoHjM/default.jpg")</f>
        <v>https://i.ytimg.com/vi/HZzIcjXoHjM/default.jpg</v>
      </c>
      <c r="G736" s="67"/>
      <c r="H736" s="71"/>
      <c r="I736" s="72"/>
      <c r="J736" s="72"/>
      <c r="K736" s="71" t="s">
        <v>1966</v>
      </c>
      <c r="L736" s="75"/>
      <c r="M736" s="76">
        <v>3207.012451171875</v>
      </c>
      <c r="N736" s="76">
        <v>3876.6240234375</v>
      </c>
      <c r="O736" s="77"/>
      <c r="P736" s="78"/>
      <c r="Q736" s="78"/>
      <c r="R736" s="82"/>
      <c r="S736" s="82"/>
      <c r="T736" s="82"/>
      <c r="U736" s="82"/>
      <c r="V736" s="52"/>
      <c r="W736" s="52"/>
      <c r="X736" s="52"/>
      <c r="Y736" s="52"/>
      <c r="Z736" s="51"/>
      <c r="AA736" s="73">
        <v>736</v>
      </c>
      <c r="AB736" s="73"/>
      <c r="AC736" s="74"/>
      <c r="AD736" s="80" t="s">
        <v>1966</v>
      </c>
      <c r="AE736" s="80" t="s">
        <v>2903</v>
      </c>
      <c r="AF736" s="80" t="s">
        <v>3640</v>
      </c>
      <c r="AG736" s="80" t="s">
        <v>4350</v>
      </c>
      <c r="AH736" s="80" t="s">
        <v>5289</v>
      </c>
      <c r="AI736" s="80">
        <v>385036</v>
      </c>
      <c r="AJ736" s="80">
        <v>80</v>
      </c>
      <c r="AK736" s="80">
        <v>6866</v>
      </c>
      <c r="AL736" s="80">
        <v>163</v>
      </c>
      <c r="AM736" s="80" t="s">
        <v>5614</v>
      </c>
      <c r="AN736" s="102" t="str">
        <f>HYPERLINK("https://www.youtube.com/watch?v=HZzIcjXoHjM")</f>
        <v>https://www.youtube.com/watch?v=HZzIcjXoHjM</v>
      </c>
      <c r="AO736" s="2"/>
      <c r="AP736" s="3"/>
      <c r="AQ736" s="3"/>
      <c r="AR736" s="3"/>
      <c r="AS736" s="3"/>
    </row>
    <row r="737" spans="1:45" ht="15">
      <c r="A737" s="66" t="s">
        <v>913</v>
      </c>
      <c r="B737" s="67"/>
      <c r="C737" s="67"/>
      <c r="D737" s="68"/>
      <c r="E737" s="70"/>
      <c r="F737" s="100" t="str">
        <f>HYPERLINK("https://i.ytimg.com/vi/hRs8sZwLDOU/default.jpg")</f>
        <v>https://i.ytimg.com/vi/hRs8sZwLDOU/default.jpg</v>
      </c>
      <c r="G737" s="67"/>
      <c r="H737" s="71"/>
      <c r="I737" s="72"/>
      <c r="J737" s="72"/>
      <c r="K737" s="71" t="s">
        <v>1967</v>
      </c>
      <c r="L737" s="75"/>
      <c r="M737" s="76">
        <v>2423.784912109375</v>
      </c>
      <c r="N737" s="76">
        <v>4214.521484375</v>
      </c>
      <c r="O737" s="77"/>
      <c r="P737" s="78"/>
      <c r="Q737" s="78"/>
      <c r="R737" s="82"/>
      <c r="S737" s="82"/>
      <c r="T737" s="82"/>
      <c r="U737" s="82"/>
      <c r="V737" s="52"/>
      <c r="W737" s="52"/>
      <c r="X737" s="52"/>
      <c r="Y737" s="52"/>
      <c r="Z737" s="51"/>
      <c r="AA737" s="73">
        <v>737</v>
      </c>
      <c r="AB737" s="73"/>
      <c r="AC737" s="74"/>
      <c r="AD737" s="80" t="s">
        <v>1967</v>
      </c>
      <c r="AE737" s="80" t="s">
        <v>2904</v>
      </c>
      <c r="AF737" s="80" t="s">
        <v>3641</v>
      </c>
      <c r="AG737" s="80" t="s">
        <v>4372</v>
      </c>
      <c r="AH737" s="80" t="s">
        <v>5290</v>
      </c>
      <c r="AI737" s="80">
        <v>830364</v>
      </c>
      <c r="AJ737" s="80">
        <v>1167</v>
      </c>
      <c r="AK737" s="80">
        <v>22741</v>
      </c>
      <c r="AL737" s="80">
        <v>738</v>
      </c>
      <c r="AM737" s="80" t="s">
        <v>5614</v>
      </c>
      <c r="AN737" s="102" t="str">
        <f>HYPERLINK("https://www.youtube.com/watch?v=hRs8sZwLDOU")</f>
        <v>https://www.youtube.com/watch?v=hRs8sZwLDOU</v>
      </c>
      <c r="AO737" s="2"/>
      <c r="AP737" s="3"/>
      <c r="AQ737" s="3"/>
      <c r="AR737" s="3"/>
      <c r="AS737" s="3"/>
    </row>
    <row r="738" spans="1:45" ht="15">
      <c r="A738" s="66" t="s">
        <v>914</v>
      </c>
      <c r="B738" s="67"/>
      <c r="C738" s="67"/>
      <c r="D738" s="68"/>
      <c r="E738" s="70"/>
      <c r="F738" s="100" t="str">
        <f>HYPERLINK("https://i.ytimg.com/vi/r9njyO4lUlA/default.jpg")</f>
        <v>https://i.ytimg.com/vi/r9njyO4lUlA/default.jpg</v>
      </c>
      <c r="G738" s="67"/>
      <c r="H738" s="71"/>
      <c r="I738" s="72"/>
      <c r="J738" s="72"/>
      <c r="K738" s="71" t="s">
        <v>1968</v>
      </c>
      <c r="L738" s="75"/>
      <c r="M738" s="76">
        <v>2464.668212890625</v>
      </c>
      <c r="N738" s="76">
        <v>3862.955322265625</v>
      </c>
      <c r="O738" s="77"/>
      <c r="P738" s="78"/>
      <c r="Q738" s="78"/>
      <c r="R738" s="82"/>
      <c r="S738" s="82"/>
      <c r="T738" s="82"/>
      <c r="U738" s="82"/>
      <c r="V738" s="52"/>
      <c r="W738" s="52"/>
      <c r="X738" s="52"/>
      <c r="Y738" s="52"/>
      <c r="Z738" s="51"/>
      <c r="AA738" s="73">
        <v>738</v>
      </c>
      <c r="AB738" s="73"/>
      <c r="AC738" s="74"/>
      <c r="AD738" s="80" t="s">
        <v>1968</v>
      </c>
      <c r="AE738" s="80" t="s">
        <v>2905</v>
      </c>
      <c r="AF738" s="80" t="s">
        <v>3642</v>
      </c>
      <c r="AG738" s="80" t="s">
        <v>4373</v>
      </c>
      <c r="AH738" s="80" t="s">
        <v>5291</v>
      </c>
      <c r="AI738" s="80">
        <v>669660</v>
      </c>
      <c r="AJ738" s="80">
        <v>632</v>
      </c>
      <c r="AK738" s="80">
        <v>11338</v>
      </c>
      <c r="AL738" s="80">
        <v>257</v>
      </c>
      <c r="AM738" s="80" t="s">
        <v>5614</v>
      </c>
      <c r="AN738" s="102" t="str">
        <f>HYPERLINK("https://www.youtube.com/watch?v=r9njyO4lUlA")</f>
        <v>https://www.youtube.com/watch?v=r9njyO4lUlA</v>
      </c>
      <c r="AO738" s="2"/>
      <c r="AP738" s="3"/>
      <c r="AQ738" s="3"/>
      <c r="AR738" s="3"/>
      <c r="AS738" s="3"/>
    </row>
    <row r="739" spans="1:45" ht="15">
      <c r="A739" s="66" t="s">
        <v>915</v>
      </c>
      <c r="B739" s="67"/>
      <c r="C739" s="67"/>
      <c r="D739" s="68"/>
      <c r="E739" s="70"/>
      <c r="F739" s="100" t="str">
        <f>HYPERLINK("https://i.ytimg.com/vi/z59t_VBm9bQ/default.jpg")</f>
        <v>https://i.ytimg.com/vi/z59t_VBm9bQ/default.jpg</v>
      </c>
      <c r="G739" s="67"/>
      <c r="H739" s="71"/>
      <c r="I739" s="72"/>
      <c r="J739" s="72"/>
      <c r="K739" s="71" t="s">
        <v>1969</v>
      </c>
      <c r="L739" s="75"/>
      <c r="M739" s="76">
        <v>2492.622314453125</v>
      </c>
      <c r="N739" s="76">
        <v>4311.19873046875</v>
      </c>
      <c r="O739" s="77"/>
      <c r="P739" s="78"/>
      <c r="Q739" s="78"/>
      <c r="R739" s="82"/>
      <c r="S739" s="82"/>
      <c r="T739" s="82"/>
      <c r="U739" s="82"/>
      <c r="V739" s="52"/>
      <c r="W739" s="52"/>
      <c r="X739" s="52"/>
      <c r="Y739" s="52"/>
      <c r="Z739" s="51"/>
      <c r="AA739" s="73">
        <v>739</v>
      </c>
      <c r="AB739" s="73"/>
      <c r="AC739" s="74"/>
      <c r="AD739" s="80" t="s">
        <v>1969</v>
      </c>
      <c r="AE739" s="80" t="s">
        <v>2906</v>
      </c>
      <c r="AF739" s="80" t="s">
        <v>3643</v>
      </c>
      <c r="AG739" s="80" t="s">
        <v>4374</v>
      </c>
      <c r="AH739" s="80" t="s">
        <v>5292</v>
      </c>
      <c r="AI739" s="80">
        <v>5002926</v>
      </c>
      <c r="AJ739" s="80">
        <v>0</v>
      </c>
      <c r="AK739" s="80">
        <v>19196</v>
      </c>
      <c r="AL739" s="80">
        <v>2678</v>
      </c>
      <c r="AM739" s="80" t="s">
        <v>5614</v>
      </c>
      <c r="AN739" s="102" t="str">
        <f>HYPERLINK("https://www.youtube.com/watch?v=z59t_VBm9bQ")</f>
        <v>https://www.youtube.com/watch?v=z59t_VBm9bQ</v>
      </c>
      <c r="AO739" s="2"/>
      <c r="AP739" s="3"/>
      <c r="AQ739" s="3"/>
      <c r="AR739" s="3"/>
      <c r="AS739" s="3"/>
    </row>
    <row r="740" spans="1:45" ht="15">
      <c r="A740" s="66" t="s">
        <v>916</v>
      </c>
      <c r="B740" s="67"/>
      <c r="C740" s="67"/>
      <c r="D740" s="68"/>
      <c r="E740" s="70"/>
      <c r="F740" s="100" t="str">
        <f>HYPERLINK("https://i.ytimg.com/vi/m7nf-vBwXL0/default.jpg")</f>
        <v>https://i.ytimg.com/vi/m7nf-vBwXL0/default.jpg</v>
      </c>
      <c r="G740" s="67"/>
      <c r="H740" s="71"/>
      <c r="I740" s="72"/>
      <c r="J740" s="72"/>
      <c r="K740" s="71" t="s">
        <v>1970</v>
      </c>
      <c r="L740" s="75"/>
      <c r="M740" s="76">
        <v>2462.977783203125</v>
      </c>
      <c r="N740" s="76">
        <v>4111.06103515625</v>
      </c>
      <c r="O740" s="77"/>
      <c r="P740" s="78"/>
      <c r="Q740" s="78"/>
      <c r="R740" s="82"/>
      <c r="S740" s="82"/>
      <c r="T740" s="82"/>
      <c r="U740" s="82"/>
      <c r="V740" s="52"/>
      <c r="W740" s="52"/>
      <c r="X740" s="52"/>
      <c r="Y740" s="52"/>
      <c r="Z740" s="51"/>
      <c r="AA740" s="73">
        <v>740</v>
      </c>
      <c r="AB740" s="73"/>
      <c r="AC740" s="74"/>
      <c r="AD740" s="80" t="s">
        <v>1970</v>
      </c>
      <c r="AE740" s="80" t="s">
        <v>2907</v>
      </c>
      <c r="AF740" s="80" t="s">
        <v>3644</v>
      </c>
      <c r="AG740" s="80" t="s">
        <v>4375</v>
      </c>
      <c r="AH740" s="80" t="s">
        <v>5293</v>
      </c>
      <c r="AI740" s="80">
        <v>204</v>
      </c>
      <c r="AJ740" s="80">
        <v>0</v>
      </c>
      <c r="AK740" s="80">
        <v>4</v>
      </c>
      <c r="AL740" s="80">
        <v>0</v>
      </c>
      <c r="AM740" s="80" t="s">
        <v>5614</v>
      </c>
      <c r="AN740" s="102" t="str">
        <f>HYPERLINK("https://www.youtube.com/watch?v=m7nf-vBwXL0")</f>
        <v>https://www.youtube.com/watch?v=m7nf-vBwXL0</v>
      </c>
      <c r="AO740" s="2"/>
      <c r="AP740" s="3"/>
      <c r="AQ740" s="3"/>
      <c r="AR740" s="3"/>
      <c r="AS740" s="3"/>
    </row>
    <row r="741" spans="1:45" ht="15">
      <c r="A741" s="66" t="s">
        <v>917</v>
      </c>
      <c r="B741" s="67"/>
      <c r="C741" s="67"/>
      <c r="D741" s="68"/>
      <c r="E741" s="70"/>
      <c r="F741" s="100" t="str">
        <f>HYPERLINK("https://i.ytimg.com/vi/c6VdrbRS3hI/default.jpg")</f>
        <v>https://i.ytimg.com/vi/c6VdrbRS3hI/default.jpg</v>
      </c>
      <c r="G741" s="67"/>
      <c r="H741" s="71"/>
      <c r="I741" s="72"/>
      <c r="J741" s="72"/>
      <c r="K741" s="71" t="s">
        <v>1971</v>
      </c>
      <c r="L741" s="75"/>
      <c r="M741" s="76">
        <v>2440.632568359375</v>
      </c>
      <c r="N741" s="76">
        <v>3599.2744140625</v>
      </c>
      <c r="O741" s="77"/>
      <c r="P741" s="78"/>
      <c r="Q741" s="78"/>
      <c r="R741" s="82"/>
      <c r="S741" s="82"/>
      <c r="T741" s="82"/>
      <c r="U741" s="82"/>
      <c r="V741" s="52"/>
      <c r="W741" s="52"/>
      <c r="X741" s="52"/>
      <c r="Y741" s="52"/>
      <c r="Z741" s="51"/>
      <c r="AA741" s="73">
        <v>741</v>
      </c>
      <c r="AB741" s="73"/>
      <c r="AC741" s="74"/>
      <c r="AD741" s="80" t="s">
        <v>1971</v>
      </c>
      <c r="AE741" s="80" t="s">
        <v>2908</v>
      </c>
      <c r="AF741" s="80" t="s">
        <v>3645</v>
      </c>
      <c r="AG741" s="80" t="s">
        <v>4376</v>
      </c>
      <c r="AH741" s="80" t="s">
        <v>5294</v>
      </c>
      <c r="AI741" s="80">
        <v>14801</v>
      </c>
      <c r="AJ741" s="80">
        <v>12</v>
      </c>
      <c r="AK741" s="80">
        <v>234</v>
      </c>
      <c r="AL741" s="80">
        <v>15</v>
      </c>
      <c r="AM741" s="80" t="s">
        <v>5614</v>
      </c>
      <c r="AN741" s="102" t="str">
        <f>HYPERLINK("https://www.youtube.com/watch?v=c6VdrbRS3hI")</f>
        <v>https://www.youtube.com/watch?v=c6VdrbRS3hI</v>
      </c>
      <c r="AO741" s="2"/>
      <c r="AP741" s="3"/>
      <c r="AQ741" s="3"/>
      <c r="AR741" s="3"/>
      <c r="AS741" s="3"/>
    </row>
    <row r="742" spans="1:45" ht="15">
      <c r="A742" s="66" t="s">
        <v>918</v>
      </c>
      <c r="B742" s="67"/>
      <c r="C742" s="67"/>
      <c r="D742" s="68"/>
      <c r="E742" s="70"/>
      <c r="F742" s="100" t="str">
        <f>HYPERLINK("https://i.ytimg.com/vi/owEegehhYVA/default.jpg")</f>
        <v>https://i.ytimg.com/vi/owEegehhYVA/default.jpg</v>
      </c>
      <c r="G742" s="67"/>
      <c r="H742" s="71"/>
      <c r="I742" s="72"/>
      <c r="J742" s="72"/>
      <c r="K742" s="71" t="s">
        <v>1972</v>
      </c>
      <c r="L742" s="75"/>
      <c r="M742" s="76">
        <v>2455.894775390625</v>
      </c>
      <c r="N742" s="76">
        <v>3833.249755859375</v>
      </c>
      <c r="O742" s="77"/>
      <c r="P742" s="78"/>
      <c r="Q742" s="78"/>
      <c r="R742" s="82"/>
      <c r="S742" s="82"/>
      <c r="T742" s="82"/>
      <c r="U742" s="82"/>
      <c r="V742" s="52"/>
      <c r="W742" s="52"/>
      <c r="X742" s="52"/>
      <c r="Y742" s="52"/>
      <c r="Z742" s="51"/>
      <c r="AA742" s="73">
        <v>742</v>
      </c>
      <c r="AB742" s="73"/>
      <c r="AC742" s="74"/>
      <c r="AD742" s="80" t="s">
        <v>1972</v>
      </c>
      <c r="AE742" s="80" t="s">
        <v>2909</v>
      </c>
      <c r="AF742" s="80" t="s">
        <v>3646</v>
      </c>
      <c r="AG742" s="80" t="s">
        <v>4006</v>
      </c>
      <c r="AH742" s="80" t="s">
        <v>5295</v>
      </c>
      <c r="AI742" s="80">
        <v>129</v>
      </c>
      <c r="AJ742" s="80">
        <v>0</v>
      </c>
      <c r="AK742" s="80">
        <v>4</v>
      </c>
      <c r="AL742" s="80">
        <v>1</v>
      </c>
      <c r="AM742" s="80" t="s">
        <v>5614</v>
      </c>
      <c r="AN742" s="102" t="str">
        <f>HYPERLINK("https://www.youtube.com/watch?v=owEegehhYVA")</f>
        <v>https://www.youtube.com/watch?v=owEegehhYVA</v>
      </c>
      <c r="AO742" s="2"/>
      <c r="AP742" s="3"/>
      <c r="AQ742" s="3"/>
      <c r="AR742" s="3"/>
      <c r="AS742" s="3"/>
    </row>
    <row r="743" spans="1:45" ht="15">
      <c r="A743" s="66" t="s">
        <v>919</v>
      </c>
      <c r="B743" s="67"/>
      <c r="C743" s="67"/>
      <c r="D743" s="68"/>
      <c r="E743" s="70"/>
      <c r="F743" s="100" t="str">
        <f>HYPERLINK("https://i.ytimg.com/vi/uixIsXdCN_k/default.jpg")</f>
        <v>https://i.ytimg.com/vi/uixIsXdCN_k/default.jpg</v>
      </c>
      <c r="G743" s="67"/>
      <c r="H743" s="71"/>
      <c r="I743" s="72"/>
      <c r="J743" s="72"/>
      <c r="K743" s="71" t="s">
        <v>1973</v>
      </c>
      <c r="L743" s="75"/>
      <c r="M743" s="76">
        <v>2519.506103515625</v>
      </c>
      <c r="N743" s="76">
        <v>4278.45556640625</v>
      </c>
      <c r="O743" s="77"/>
      <c r="P743" s="78"/>
      <c r="Q743" s="78"/>
      <c r="R743" s="82"/>
      <c r="S743" s="82"/>
      <c r="T743" s="82"/>
      <c r="U743" s="82"/>
      <c r="V743" s="52"/>
      <c r="W743" s="52"/>
      <c r="X743" s="52"/>
      <c r="Y743" s="52"/>
      <c r="Z743" s="51"/>
      <c r="AA743" s="73">
        <v>743</v>
      </c>
      <c r="AB743" s="73"/>
      <c r="AC743" s="74"/>
      <c r="AD743" s="80" t="s">
        <v>1973</v>
      </c>
      <c r="AE743" s="80" t="s">
        <v>2910</v>
      </c>
      <c r="AF743" s="80" t="s">
        <v>3647</v>
      </c>
      <c r="AG743" s="80" t="s">
        <v>4130</v>
      </c>
      <c r="AH743" s="80" t="s">
        <v>5296</v>
      </c>
      <c r="AI743" s="80">
        <v>1943279</v>
      </c>
      <c r="AJ743" s="80">
        <v>1445</v>
      </c>
      <c r="AK743" s="80">
        <v>29062</v>
      </c>
      <c r="AL743" s="80">
        <v>1490</v>
      </c>
      <c r="AM743" s="80" t="s">
        <v>5614</v>
      </c>
      <c r="AN743" s="102" t="str">
        <f>HYPERLINK("https://www.youtube.com/watch?v=uixIsXdCN_k")</f>
        <v>https://www.youtube.com/watch?v=uixIsXdCN_k</v>
      </c>
      <c r="AO743" s="2"/>
      <c r="AP743" s="3"/>
      <c r="AQ743" s="3"/>
      <c r="AR743" s="3"/>
      <c r="AS743" s="3"/>
    </row>
    <row r="744" spans="1:45" ht="15">
      <c r="A744" s="66" t="s">
        <v>920</v>
      </c>
      <c r="B744" s="67"/>
      <c r="C744" s="67"/>
      <c r="D744" s="68"/>
      <c r="E744" s="70"/>
      <c r="F744" s="100" t="str">
        <f>HYPERLINK("https://i.ytimg.com/vi/hKyFHVQBgxQ/default.jpg")</f>
        <v>https://i.ytimg.com/vi/hKyFHVQBgxQ/default.jpg</v>
      </c>
      <c r="G744" s="67"/>
      <c r="H744" s="71"/>
      <c r="I744" s="72"/>
      <c r="J744" s="72"/>
      <c r="K744" s="71" t="s">
        <v>1974</v>
      </c>
      <c r="L744" s="75"/>
      <c r="M744" s="76">
        <v>2383.046630859375</v>
      </c>
      <c r="N744" s="76">
        <v>3776.5771484375</v>
      </c>
      <c r="O744" s="77"/>
      <c r="P744" s="78"/>
      <c r="Q744" s="78"/>
      <c r="R744" s="82"/>
      <c r="S744" s="82"/>
      <c r="T744" s="82"/>
      <c r="U744" s="82"/>
      <c r="V744" s="52"/>
      <c r="W744" s="52"/>
      <c r="X744" s="52"/>
      <c r="Y744" s="52"/>
      <c r="Z744" s="51"/>
      <c r="AA744" s="73">
        <v>744</v>
      </c>
      <c r="AB744" s="73"/>
      <c r="AC744" s="74"/>
      <c r="AD744" s="80" t="s">
        <v>1974</v>
      </c>
      <c r="AE744" s="80" t="s">
        <v>2911</v>
      </c>
      <c r="AF744" s="80" t="s">
        <v>3648</v>
      </c>
      <c r="AG744" s="80" t="s">
        <v>4006</v>
      </c>
      <c r="AH744" s="80" t="s">
        <v>5297</v>
      </c>
      <c r="AI744" s="80">
        <v>77</v>
      </c>
      <c r="AJ744" s="80">
        <v>0</v>
      </c>
      <c r="AK744" s="80">
        <v>1</v>
      </c>
      <c r="AL744" s="80">
        <v>0</v>
      </c>
      <c r="AM744" s="80" t="s">
        <v>5614</v>
      </c>
      <c r="AN744" s="102" t="str">
        <f>HYPERLINK("https://www.youtube.com/watch?v=hKyFHVQBgxQ")</f>
        <v>https://www.youtube.com/watch?v=hKyFHVQBgxQ</v>
      </c>
      <c r="AO744" s="2"/>
      <c r="AP744" s="3"/>
      <c r="AQ744" s="3"/>
      <c r="AR744" s="3"/>
      <c r="AS744" s="3"/>
    </row>
    <row r="745" spans="1:45" ht="15">
      <c r="A745" s="66" t="s">
        <v>921</v>
      </c>
      <c r="B745" s="67"/>
      <c r="C745" s="67"/>
      <c r="D745" s="68"/>
      <c r="E745" s="70"/>
      <c r="F745" s="100" t="str">
        <f>HYPERLINK("https://i.ytimg.com/vi/VW_cZ7eN5wQ/default.jpg")</f>
        <v>https://i.ytimg.com/vi/VW_cZ7eN5wQ/default.jpg</v>
      </c>
      <c r="G745" s="67"/>
      <c r="H745" s="71"/>
      <c r="I745" s="72"/>
      <c r="J745" s="72"/>
      <c r="K745" s="71" t="s">
        <v>1975</v>
      </c>
      <c r="L745" s="75"/>
      <c r="M745" s="76">
        <v>2387.1962890625</v>
      </c>
      <c r="N745" s="76">
        <v>3820.126708984375</v>
      </c>
      <c r="O745" s="77"/>
      <c r="P745" s="78"/>
      <c r="Q745" s="78"/>
      <c r="R745" s="82"/>
      <c r="S745" s="82"/>
      <c r="T745" s="82"/>
      <c r="U745" s="82"/>
      <c r="V745" s="52"/>
      <c r="W745" s="52"/>
      <c r="X745" s="52"/>
      <c r="Y745" s="52"/>
      <c r="Z745" s="51"/>
      <c r="AA745" s="73">
        <v>745</v>
      </c>
      <c r="AB745" s="73"/>
      <c r="AC745" s="74"/>
      <c r="AD745" s="80" t="s">
        <v>1975</v>
      </c>
      <c r="AE745" s="80" t="s">
        <v>2912</v>
      </c>
      <c r="AF745" s="80" t="s">
        <v>3649</v>
      </c>
      <c r="AG745" s="80" t="s">
        <v>4051</v>
      </c>
      <c r="AH745" s="80" t="s">
        <v>5298</v>
      </c>
      <c r="AI745" s="80">
        <v>232050</v>
      </c>
      <c r="AJ745" s="80">
        <v>26</v>
      </c>
      <c r="AK745" s="80">
        <v>4742</v>
      </c>
      <c r="AL745" s="80">
        <v>186</v>
      </c>
      <c r="AM745" s="80" t="s">
        <v>5614</v>
      </c>
      <c r="AN745" s="102" t="str">
        <f>HYPERLINK("https://www.youtube.com/watch?v=VW_cZ7eN5wQ")</f>
        <v>https://www.youtube.com/watch?v=VW_cZ7eN5wQ</v>
      </c>
      <c r="AO745" s="2"/>
      <c r="AP745" s="3"/>
      <c r="AQ745" s="3"/>
      <c r="AR745" s="3"/>
      <c r="AS745" s="3"/>
    </row>
    <row r="746" spans="1:45" ht="15">
      <c r="A746" s="66" t="s">
        <v>922</v>
      </c>
      <c r="B746" s="67"/>
      <c r="C746" s="67"/>
      <c r="D746" s="68"/>
      <c r="E746" s="70"/>
      <c r="F746" s="100" t="str">
        <f>HYPERLINK("https://i.ytimg.com/vi/JctqHCp-XFY/default.jpg")</f>
        <v>https://i.ytimg.com/vi/JctqHCp-XFY/default.jpg</v>
      </c>
      <c r="G746" s="67"/>
      <c r="H746" s="71"/>
      <c r="I746" s="72"/>
      <c r="J746" s="72"/>
      <c r="K746" s="71" t="s">
        <v>1976</v>
      </c>
      <c r="L746" s="75"/>
      <c r="M746" s="76">
        <v>2367.755126953125</v>
      </c>
      <c r="N746" s="76">
        <v>3737.80322265625</v>
      </c>
      <c r="O746" s="77"/>
      <c r="P746" s="78"/>
      <c r="Q746" s="78"/>
      <c r="R746" s="82"/>
      <c r="S746" s="82"/>
      <c r="T746" s="82"/>
      <c r="U746" s="82"/>
      <c r="V746" s="52"/>
      <c r="W746" s="52"/>
      <c r="X746" s="52"/>
      <c r="Y746" s="52"/>
      <c r="Z746" s="51"/>
      <c r="AA746" s="73">
        <v>746</v>
      </c>
      <c r="AB746" s="73"/>
      <c r="AC746" s="74"/>
      <c r="AD746" s="80" t="s">
        <v>1976</v>
      </c>
      <c r="AE746" s="80" t="s">
        <v>2913</v>
      </c>
      <c r="AF746" s="80" t="s">
        <v>3650</v>
      </c>
      <c r="AG746" s="80" t="s">
        <v>4255</v>
      </c>
      <c r="AH746" s="80" t="s">
        <v>5299</v>
      </c>
      <c r="AI746" s="80">
        <v>56728</v>
      </c>
      <c r="AJ746" s="80">
        <v>9</v>
      </c>
      <c r="AK746" s="80">
        <v>680</v>
      </c>
      <c r="AL746" s="80">
        <v>32</v>
      </c>
      <c r="AM746" s="80" t="s">
        <v>5614</v>
      </c>
      <c r="AN746" s="102" t="str">
        <f>HYPERLINK("https://www.youtube.com/watch?v=JctqHCp-XFY")</f>
        <v>https://www.youtube.com/watch?v=JctqHCp-XFY</v>
      </c>
      <c r="AO746" s="2"/>
      <c r="AP746" s="3"/>
      <c r="AQ746" s="3"/>
      <c r="AR746" s="3"/>
      <c r="AS746" s="3"/>
    </row>
    <row r="747" spans="1:45" ht="15">
      <c r="A747" s="66" t="s">
        <v>923</v>
      </c>
      <c r="B747" s="67"/>
      <c r="C747" s="67"/>
      <c r="D747" s="68"/>
      <c r="E747" s="70"/>
      <c r="F747" s="100" t="str">
        <f>HYPERLINK("https://i.ytimg.com/vi/FC_F7HI1wkw/default.jpg")</f>
        <v>https://i.ytimg.com/vi/FC_F7HI1wkw/default.jpg</v>
      </c>
      <c r="G747" s="67"/>
      <c r="H747" s="71"/>
      <c r="I747" s="72"/>
      <c r="J747" s="72"/>
      <c r="K747" s="71" t="s">
        <v>1977</v>
      </c>
      <c r="L747" s="75"/>
      <c r="M747" s="76">
        <v>2351.53173828125</v>
      </c>
      <c r="N747" s="76">
        <v>4066.474609375</v>
      </c>
      <c r="O747" s="77"/>
      <c r="P747" s="78"/>
      <c r="Q747" s="78"/>
      <c r="R747" s="82"/>
      <c r="S747" s="82"/>
      <c r="T747" s="82"/>
      <c r="U747" s="82"/>
      <c r="V747" s="52"/>
      <c r="W747" s="52"/>
      <c r="X747" s="52"/>
      <c r="Y747" s="52"/>
      <c r="Z747" s="51"/>
      <c r="AA747" s="73">
        <v>747</v>
      </c>
      <c r="AB747" s="73"/>
      <c r="AC747" s="74"/>
      <c r="AD747" s="80" t="s">
        <v>1977</v>
      </c>
      <c r="AE747" s="80" t="s">
        <v>2914</v>
      </c>
      <c r="AF747" s="80"/>
      <c r="AG747" s="80" t="s">
        <v>4006</v>
      </c>
      <c r="AH747" s="80" t="s">
        <v>5300</v>
      </c>
      <c r="AI747" s="80">
        <v>109</v>
      </c>
      <c r="AJ747" s="80">
        <v>0</v>
      </c>
      <c r="AK747" s="80">
        <v>7</v>
      </c>
      <c r="AL747" s="80">
        <v>0</v>
      </c>
      <c r="AM747" s="80" t="s">
        <v>5614</v>
      </c>
      <c r="AN747" s="102" t="str">
        <f>HYPERLINK("https://www.youtube.com/watch?v=FC_F7HI1wkw")</f>
        <v>https://www.youtube.com/watch?v=FC_F7HI1wkw</v>
      </c>
      <c r="AO747" s="2"/>
      <c r="AP747" s="3"/>
      <c r="AQ747" s="3"/>
      <c r="AR747" s="3"/>
      <c r="AS747" s="3"/>
    </row>
    <row r="748" spans="1:45" ht="15">
      <c r="A748" s="66" t="s">
        <v>924</v>
      </c>
      <c r="B748" s="67"/>
      <c r="C748" s="67"/>
      <c r="D748" s="68"/>
      <c r="E748" s="70"/>
      <c r="F748" s="100" t="str">
        <f>HYPERLINK("https://i.ytimg.com/vi/Y3RQr-W1Oss/default.jpg")</f>
        <v>https://i.ytimg.com/vi/Y3RQr-W1Oss/default.jpg</v>
      </c>
      <c r="G748" s="67"/>
      <c r="H748" s="71"/>
      <c r="I748" s="72"/>
      <c r="J748" s="72"/>
      <c r="K748" s="71" t="s">
        <v>1978</v>
      </c>
      <c r="L748" s="75"/>
      <c r="M748" s="76">
        <v>2512.63525390625</v>
      </c>
      <c r="N748" s="76">
        <v>3835.752197265625</v>
      </c>
      <c r="O748" s="77"/>
      <c r="P748" s="78"/>
      <c r="Q748" s="78"/>
      <c r="R748" s="82"/>
      <c r="S748" s="82"/>
      <c r="T748" s="82"/>
      <c r="U748" s="82"/>
      <c r="V748" s="52"/>
      <c r="W748" s="52"/>
      <c r="X748" s="52"/>
      <c r="Y748" s="52"/>
      <c r="Z748" s="51"/>
      <c r="AA748" s="73">
        <v>748</v>
      </c>
      <c r="AB748" s="73"/>
      <c r="AC748" s="74"/>
      <c r="AD748" s="80" t="s">
        <v>1978</v>
      </c>
      <c r="AE748" s="80" t="s">
        <v>2915</v>
      </c>
      <c r="AF748" s="80"/>
      <c r="AG748" s="80" t="s">
        <v>4006</v>
      </c>
      <c r="AH748" s="80" t="s">
        <v>5301</v>
      </c>
      <c r="AI748" s="80">
        <v>1462</v>
      </c>
      <c r="AJ748" s="80">
        <v>0</v>
      </c>
      <c r="AK748" s="80">
        <v>37</v>
      </c>
      <c r="AL748" s="80">
        <v>0</v>
      </c>
      <c r="AM748" s="80" t="s">
        <v>5614</v>
      </c>
      <c r="AN748" s="102" t="str">
        <f>HYPERLINK("https://www.youtube.com/watch?v=Y3RQr-W1Oss")</f>
        <v>https://www.youtube.com/watch?v=Y3RQr-W1Oss</v>
      </c>
      <c r="AO748" s="2"/>
      <c r="AP748" s="3"/>
      <c r="AQ748" s="3"/>
      <c r="AR748" s="3"/>
      <c r="AS748" s="3"/>
    </row>
    <row r="749" spans="1:45" ht="15">
      <c r="A749" s="66" t="s">
        <v>925</v>
      </c>
      <c r="B749" s="67"/>
      <c r="C749" s="67"/>
      <c r="D749" s="68"/>
      <c r="E749" s="70"/>
      <c r="F749" s="100" t="str">
        <f>HYPERLINK("https://i.ytimg.com/vi/1CaL9U6bIiQ/default.jpg")</f>
        <v>https://i.ytimg.com/vi/1CaL9U6bIiQ/default.jpg</v>
      </c>
      <c r="G749" s="67"/>
      <c r="H749" s="71"/>
      <c r="I749" s="72"/>
      <c r="J749" s="72"/>
      <c r="K749" s="71" t="s">
        <v>1979</v>
      </c>
      <c r="L749" s="75"/>
      <c r="M749" s="76">
        <v>2362.862060546875</v>
      </c>
      <c r="N749" s="76">
        <v>3884.809326171875</v>
      </c>
      <c r="O749" s="77"/>
      <c r="P749" s="78"/>
      <c r="Q749" s="78"/>
      <c r="R749" s="82"/>
      <c r="S749" s="82"/>
      <c r="T749" s="82"/>
      <c r="U749" s="82"/>
      <c r="V749" s="52"/>
      <c r="W749" s="52"/>
      <c r="X749" s="52"/>
      <c r="Y749" s="52"/>
      <c r="Z749" s="51"/>
      <c r="AA749" s="73">
        <v>749</v>
      </c>
      <c r="AB749" s="73"/>
      <c r="AC749" s="74"/>
      <c r="AD749" s="80" t="s">
        <v>1979</v>
      </c>
      <c r="AE749" s="80" t="s">
        <v>2916</v>
      </c>
      <c r="AF749" s="80" t="s">
        <v>3651</v>
      </c>
      <c r="AG749" s="80" t="s">
        <v>4275</v>
      </c>
      <c r="AH749" s="80" t="s">
        <v>5302</v>
      </c>
      <c r="AI749" s="80">
        <v>628</v>
      </c>
      <c r="AJ749" s="80">
        <v>0</v>
      </c>
      <c r="AK749" s="80">
        <v>7</v>
      </c>
      <c r="AL749" s="80">
        <v>0</v>
      </c>
      <c r="AM749" s="80" t="s">
        <v>5614</v>
      </c>
      <c r="AN749" s="102" t="str">
        <f>HYPERLINK("https://www.youtube.com/watch?v=1CaL9U6bIiQ")</f>
        <v>https://www.youtube.com/watch?v=1CaL9U6bIiQ</v>
      </c>
      <c r="AO749" s="2"/>
      <c r="AP749" s="3"/>
      <c r="AQ749" s="3"/>
      <c r="AR749" s="3"/>
      <c r="AS749" s="3"/>
    </row>
    <row r="750" spans="1:45" ht="15">
      <c r="A750" s="66" t="s">
        <v>926</v>
      </c>
      <c r="B750" s="67"/>
      <c r="C750" s="67"/>
      <c r="D750" s="68"/>
      <c r="E750" s="70"/>
      <c r="F750" s="100" t="str">
        <f>HYPERLINK("https://i.ytimg.com/vi/vB2_zFeaA-4/default.jpg")</f>
        <v>https://i.ytimg.com/vi/vB2_zFeaA-4/default.jpg</v>
      </c>
      <c r="G750" s="67"/>
      <c r="H750" s="71"/>
      <c r="I750" s="72"/>
      <c r="J750" s="72"/>
      <c r="K750" s="71" t="s">
        <v>1980</v>
      </c>
      <c r="L750" s="75"/>
      <c r="M750" s="76">
        <v>2334.848388671875</v>
      </c>
      <c r="N750" s="76">
        <v>3878.0263671875</v>
      </c>
      <c r="O750" s="77"/>
      <c r="P750" s="78"/>
      <c r="Q750" s="78"/>
      <c r="R750" s="82"/>
      <c r="S750" s="82"/>
      <c r="T750" s="82"/>
      <c r="U750" s="82"/>
      <c r="V750" s="52"/>
      <c r="W750" s="52"/>
      <c r="X750" s="52"/>
      <c r="Y750" s="52"/>
      <c r="Z750" s="51"/>
      <c r="AA750" s="73">
        <v>750</v>
      </c>
      <c r="AB750" s="73"/>
      <c r="AC750" s="74"/>
      <c r="AD750" s="80" t="s">
        <v>1980</v>
      </c>
      <c r="AE750" s="80" t="s">
        <v>2917</v>
      </c>
      <c r="AF750" s="80" t="s">
        <v>3652</v>
      </c>
      <c r="AG750" s="80" t="s">
        <v>4051</v>
      </c>
      <c r="AH750" s="80" t="s">
        <v>5303</v>
      </c>
      <c r="AI750" s="80">
        <v>614517</v>
      </c>
      <c r="AJ750" s="80">
        <v>14</v>
      </c>
      <c r="AK750" s="80">
        <v>2498</v>
      </c>
      <c r="AL750" s="80">
        <v>218</v>
      </c>
      <c r="AM750" s="80" t="s">
        <v>5614</v>
      </c>
      <c r="AN750" s="102" t="str">
        <f>HYPERLINK("https://www.youtube.com/watch?v=vB2_zFeaA-4")</f>
        <v>https://www.youtube.com/watch?v=vB2_zFeaA-4</v>
      </c>
      <c r="AO750" s="2"/>
      <c r="AP750" s="3"/>
      <c r="AQ750" s="3"/>
      <c r="AR750" s="3"/>
      <c r="AS750" s="3"/>
    </row>
    <row r="751" spans="1:45" ht="15">
      <c r="A751" s="66" t="s">
        <v>927</v>
      </c>
      <c r="B751" s="67"/>
      <c r="C751" s="67"/>
      <c r="D751" s="68"/>
      <c r="E751" s="70"/>
      <c r="F751" s="100" t="str">
        <f>HYPERLINK("https://i.ytimg.com/vi/qksUKbaMPRA/default.jpg")</f>
        <v>https://i.ytimg.com/vi/qksUKbaMPRA/default.jpg</v>
      </c>
      <c r="G751" s="67"/>
      <c r="H751" s="71"/>
      <c r="I751" s="72"/>
      <c r="J751" s="72"/>
      <c r="K751" s="71" t="s">
        <v>1981</v>
      </c>
      <c r="L751" s="75"/>
      <c r="M751" s="76">
        <v>2374.476806640625</v>
      </c>
      <c r="N751" s="76">
        <v>4037.03955078125</v>
      </c>
      <c r="O751" s="77"/>
      <c r="P751" s="78"/>
      <c r="Q751" s="78"/>
      <c r="R751" s="82"/>
      <c r="S751" s="82"/>
      <c r="T751" s="82"/>
      <c r="U751" s="82"/>
      <c r="V751" s="52"/>
      <c r="W751" s="52"/>
      <c r="X751" s="52"/>
      <c r="Y751" s="52"/>
      <c r="Z751" s="51"/>
      <c r="AA751" s="73">
        <v>751</v>
      </c>
      <c r="AB751" s="73"/>
      <c r="AC751" s="74"/>
      <c r="AD751" s="80" t="s">
        <v>1981</v>
      </c>
      <c r="AE751" s="80" t="s">
        <v>2918</v>
      </c>
      <c r="AF751" s="80"/>
      <c r="AG751" s="80" t="s">
        <v>4006</v>
      </c>
      <c r="AH751" s="80" t="s">
        <v>5304</v>
      </c>
      <c r="AI751" s="80">
        <v>229</v>
      </c>
      <c r="AJ751" s="80">
        <v>1</v>
      </c>
      <c r="AK751" s="80">
        <v>13</v>
      </c>
      <c r="AL751" s="80">
        <v>0</v>
      </c>
      <c r="AM751" s="80" t="s">
        <v>5614</v>
      </c>
      <c r="AN751" s="102" t="str">
        <f>HYPERLINK("https://www.youtube.com/watch?v=qksUKbaMPRA")</f>
        <v>https://www.youtube.com/watch?v=qksUKbaMPRA</v>
      </c>
      <c r="AO751" s="2"/>
      <c r="AP751" s="3"/>
      <c r="AQ751" s="3"/>
      <c r="AR751" s="3"/>
      <c r="AS751" s="3"/>
    </row>
    <row r="752" spans="1:45" ht="15">
      <c r="A752" s="66" t="s">
        <v>928</v>
      </c>
      <c r="B752" s="67"/>
      <c r="C752" s="67"/>
      <c r="D752" s="68"/>
      <c r="E752" s="70"/>
      <c r="F752" s="100" t="str">
        <f>HYPERLINK("https://i.ytimg.com/vi/02m22FaT9Wg/default.jpg")</f>
        <v>https://i.ytimg.com/vi/02m22FaT9Wg/default.jpg</v>
      </c>
      <c r="G752" s="67"/>
      <c r="H752" s="71"/>
      <c r="I752" s="72"/>
      <c r="J752" s="72"/>
      <c r="K752" s="71" t="s">
        <v>1982</v>
      </c>
      <c r="L752" s="75"/>
      <c r="M752" s="76">
        <v>4001.620849609375</v>
      </c>
      <c r="N752" s="76">
        <v>2944.605224609375</v>
      </c>
      <c r="O752" s="77"/>
      <c r="P752" s="78"/>
      <c r="Q752" s="78"/>
      <c r="R752" s="82"/>
      <c r="S752" s="82"/>
      <c r="T752" s="82"/>
      <c r="U752" s="82"/>
      <c r="V752" s="52"/>
      <c r="W752" s="52"/>
      <c r="X752" s="52"/>
      <c r="Y752" s="52"/>
      <c r="Z752" s="51"/>
      <c r="AA752" s="73">
        <v>752</v>
      </c>
      <c r="AB752" s="73"/>
      <c r="AC752" s="74"/>
      <c r="AD752" s="80" t="s">
        <v>1982</v>
      </c>
      <c r="AE752" s="80" t="s">
        <v>2919</v>
      </c>
      <c r="AF752" s="80" t="s">
        <v>3653</v>
      </c>
      <c r="AG752" s="80" t="s">
        <v>4377</v>
      </c>
      <c r="AH752" s="80" t="s">
        <v>5305</v>
      </c>
      <c r="AI752" s="80">
        <v>5357</v>
      </c>
      <c r="AJ752" s="80">
        <v>5</v>
      </c>
      <c r="AK752" s="80">
        <v>64</v>
      </c>
      <c r="AL752" s="80">
        <v>2</v>
      </c>
      <c r="AM752" s="80" t="s">
        <v>5614</v>
      </c>
      <c r="AN752" s="102" t="str">
        <f>HYPERLINK("https://www.youtube.com/watch?v=02m22FaT9Wg")</f>
        <v>https://www.youtube.com/watch?v=02m22FaT9Wg</v>
      </c>
      <c r="AO752" s="2"/>
      <c r="AP752" s="3"/>
      <c r="AQ752" s="3"/>
      <c r="AR752" s="3"/>
      <c r="AS752" s="3"/>
    </row>
    <row r="753" spans="1:45" ht="15">
      <c r="A753" s="66" t="s">
        <v>929</v>
      </c>
      <c r="B753" s="67"/>
      <c r="C753" s="67"/>
      <c r="D753" s="68"/>
      <c r="E753" s="70"/>
      <c r="F753" s="100" t="str">
        <f>HYPERLINK("https://i.ytimg.com/vi/JG38c26G_q8/default.jpg")</f>
        <v>https://i.ytimg.com/vi/JG38c26G_q8/default.jpg</v>
      </c>
      <c r="G753" s="67"/>
      <c r="H753" s="71"/>
      <c r="I753" s="72"/>
      <c r="J753" s="72"/>
      <c r="K753" s="71" t="s">
        <v>1983</v>
      </c>
      <c r="L753" s="75"/>
      <c r="M753" s="76">
        <v>2426.533935546875</v>
      </c>
      <c r="N753" s="76">
        <v>4125.73974609375</v>
      </c>
      <c r="O753" s="77"/>
      <c r="P753" s="78"/>
      <c r="Q753" s="78"/>
      <c r="R753" s="82"/>
      <c r="S753" s="82"/>
      <c r="T753" s="82"/>
      <c r="U753" s="82"/>
      <c r="V753" s="52"/>
      <c r="W753" s="52"/>
      <c r="X753" s="52"/>
      <c r="Y753" s="52"/>
      <c r="Z753" s="51"/>
      <c r="AA753" s="73">
        <v>753</v>
      </c>
      <c r="AB753" s="73"/>
      <c r="AC753" s="74"/>
      <c r="AD753" s="80" t="s">
        <v>1983</v>
      </c>
      <c r="AE753" s="80" t="s">
        <v>2920</v>
      </c>
      <c r="AF753" s="80" t="s">
        <v>3654</v>
      </c>
      <c r="AG753" s="80" t="s">
        <v>4006</v>
      </c>
      <c r="AH753" s="80" t="s">
        <v>5306</v>
      </c>
      <c r="AI753" s="80">
        <v>78</v>
      </c>
      <c r="AJ753" s="80">
        <v>0</v>
      </c>
      <c r="AK753" s="80">
        <v>2</v>
      </c>
      <c r="AL753" s="80">
        <v>0</v>
      </c>
      <c r="AM753" s="80" t="s">
        <v>5614</v>
      </c>
      <c r="AN753" s="102" t="str">
        <f>HYPERLINK("https://www.youtube.com/watch?v=JG38c26G_q8")</f>
        <v>https://www.youtube.com/watch?v=JG38c26G_q8</v>
      </c>
      <c r="AO753" s="2"/>
      <c r="AP753" s="3"/>
      <c r="AQ753" s="3"/>
      <c r="AR753" s="3"/>
      <c r="AS753" s="3"/>
    </row>
    <row r="754" spans="1:45" ht="15">
      <c r="A754" s="66" t="s">
        <v>930</v>
      </c>
      <c r="B754" s="67"/>
      <c r="C754" s="67"/>
      <c r="D754" s="68"/>
      <c r="E754" s="70"/>
      <c r="F754" s="100" t="str">
        <f>HYPERLINK("https://i.ytimg.com/vi/lmTasfBjzfk/default.jpg")</f>
        <v>https://i.ytimg.com/vi/lmTasfBjzfk/default.jpg</v>
      </c>
      <c r="G754" s="67"/>
      <c r="H754" s="71"/>
      <c r="I754" s="72"/>
      <c r="J754" s="72"/>
      <c r="K754" s="71" t="s">
        <v>1984</v>
      </c>
      <c r="L754" s="75"/>
      <c r="M754" s="76">
        <v>2546.1337890625</v>
      </c>
      <c r="N754" s="76">
        <v>4096.47119140625</v>
      </c>
      <c r="O754" s="77"/>
      <c r="P754" s="78"/>
      <c r="Q754" s="78"/>
      <c r="R754" s="82"/>
      <c r="S754" s="82"/>
      <c r="T754" s="82"/>
      <c r="U754" s="82"/>
      <c r="V754" s="52"/>
      <c r="W754" s="52"/>
      <c r="X754" s="52"/>
      <c r="Y754" s="52"/>
      <c r="Z754" s="51"/>
      <c r="AA754" s="73">
        <v>754</v>
      </c>
      <c r="AB754" s="73"/>
      <c r="AC754" s="74"/>
      <c r="AD754" s="80" t="s">
        <v>1984</v>
      </c>
      <c r="AE754" s="80" t="s">
        <v>2921</v>
      </c>
      <c r="AF754" s="80" t="s">
        <v>3655</v>
      </c>
      <c r="AG754" s="80" t="s">
        <v>4378</v>
      </c>
      <c r="AH754" s="80" t="s">
        <v>5307</v>
      </c>
      <c r="AI754" s="80">
        <v>8030</v>
      </c>
      <c r="AJ754" s="80">
        <v>1</v>
      </c>
      <c r="AK754" s="80">
        <v>54</v>
      </c>
      <c r="AL754" s="80">
        <v>2</v>
      </c>
      <c r="AM754" s="80" t="s">
        <v>5614</v>
      </c>
      <c r="AN754" s="102" t="str">
        <f>HYPERLINK("https://www.youtube.com/watch?v=lmTasfBjzfk")</f>
        <v>https://www.youtube.com/watch?v=lmTasfBjzfk</v>
      </c>
      <c r="AO754" s="2"/>
      <c r="AP754" s="3"/>
      <c r="AQ754" s="3"/>
      <c r="AR754" s="3"/>
      <c r="AS754" s="3"/>
    </row>
    <row r="755" spans="1:45" ht="15">
      <c r="A755" s="66" t="s">
        <v>931</v>
      </c>
      <c r="B755" s="67"/>
      <c r="C755" s="67"/>
      <c r="D755" s="68"/>
      <c r="E755" s="70"/>
      <c r="F755" s="100" t="str">
        <f>HYPERLINK("https://i.ytimg.com/vi/uUPIBJj-qpY/default.jpg")</f>
        <v>https://i.ytimg.com/vi/uUPIBJj-qpY/default.jpg</v>
      </c>
      <c r="G755" s="67"/>
      <c r="H755" s="71"/>
      <c r="I755" s="72"/>
      <c r="J755" s="72"/>
      <c r="K755" s="71" t="s">
        <v>1985</v>
      </c>
      <c r="L755" s="75"/>
      <c r="M755" s="76">
        <v>2600.3603515625</v>
      </c>
      <c r="N755" s="76">
        <v>4090.7080078125</v>
      </c>
      <c r="O755" s="77"/>
      <c r="P755" s="78"/>
      <c r="Q755" s="78"/>
      <c r="R755" s="82"/>
      <c r="S755" s="82"/>
      <c r="T755" s="82"/>
      <c r="U755" s="82"/>
      <c r="V755" s="52"/>
      <c r="W755" s="52"/>
      <c r="X755" s="52"/>
      <c r="Y755" s="52"/>
      <c r="Z755" s="51"/>
      <c r="AA755" s="73">
        <v>755</v>
      </c>
      <c r="AB755" s="73"/>
      <c r="AC755" s="74"/>
      <c r="AD755" s="80" t="s">
        <v>1985</v>
      </c>
      <c r="AE755" s="80" t="s">
        <v>2922</v>
      </c>
      <c r="AF755" s="80" t="s">
        <v>3656</v>
      </c>
      <c r="AG755" s="80" t="s">
        <v>4379</v>
      </c>
      <c r="AH755" s="80" t="s">
        <v>5308</v>
      </c>
      <c r="AI755" s="80">
        <v>1181</v>
      </c>
      <c r="AJ755" s="80">
        <v>32</v>
      </c>
      <c r="AK755" s="80">
        <v>37</v>
      </c>
      <c r="AL755" s="80">
        <v>0</v>
      </c>
      <c r="AM755" s="80" t="s">
        <v>5614</v>
      </c>
      <c r="AN755" s="102" t="str">
        <f>HYPERLINK("https://www.youtube.com/watch?v=uUPIBJj-qpY")</f>
        <v>https://www.youtube.com/watch?v=uUPIBJj-qpY</v>
      </c>
      <c r="AO755" s="2"/>
      <c r="AP755" s="3"/>
      <c r="AQ755" s="3"/>
      <c r="AR755" s="3"/>
      <c r="AS755" s="3"/>
    </row>
    <row r="756" spans="1:45" ht="15">
      <c r="A756" s="66" t="s">
        <v>932</v>
      </c>
      <c r="B756" s="67"/>
      <c r="C756" s="67"/>
      <c r="D756" s="68"/>
      <c r="E756" s="70"/>
      <c r="F756" s="100" t="str">
        <f>HYPERLINK("https://i.ytimg.com/vi/Dvu196xHPPs/default.jpg")</f>
        <v>https://i.ytimg.com/vi/Dvu196xHPPs/default.jpg</v>
      </c>
      <c r="G756" s="67"/>
      <c r="H756" s="71"/>
      <c r="I756" s="72"/>
      <c r="J756" s="72"/>
      <c r="K756" s="71" t="s">
        <v>1986</v>
      </c>
      <c r="L756" s="75"/>
      <c r="M756" s="76">
        <v>7835.74267578125</v>
      </c>
      <c r="N756" s="76">
        <v>5855.68798828125</v>
      </c>
      <c r="O756" s="77"/>
      <c r="P756" s="78"/>
      <c r="Q756" s="78"/>
      <c r="R756" s="82"/>
      <c r="S756" s="82"/>
      <c r="T756" s="82"/>
      <c r="U756" s="82"/>
      <c r="V756" s="52"/>
      <c r="W756" s="52"/>
      <c r="X756" s="52"/>
      <c r="Y756" s="52"/>
      <c r="Z756" s="51"/>
      <c r="AA756" s="73">
        <v>756</v>
      </c>
      <c r="AB756" s="73"/>
      <c r="AC756" s="74"/>
      <c r="AD756" s="80" t="s">
        <v>1986</v>
      </c>
      <c r="AE756" s="80" t="s">
        <v>2923</v>
      </c>
      <c r="AF756" s="80"/>
      <c r="AG756" s="80" t="s">
        <v>4380</v>
      </c>
      <c r="AH756" s="80" t="s">
        <v>5309</v>
      </c>
      <c r="AI756" s="80">
        <v>4267</v>
      </c>
      <c r="AJ756" s="80">
        <v>0</v>
      </c>
      <c r="AK756" s="80">
        <v>9</v>
      </c>
      <c r="AL756" s="80">
        <v>1</v>
      </c>
      <c r="AM756" s="80" t="s">
        <v>5614</v>
      </c>
      <c r="AN756" s="102" t="str">
        <f>HYPERLINK("https://www.youtube.com/watch?v=Dvu196xHPPs")</f>
        <v>https://www.youtube.com/watch?v=Dvu196xHPPs</v>
      </c>
      <c r="AO756" s="2"/>
      <c r="AP756" s="3"/>
      <c r="AQ756" s="3"/>
      <c r="AR756" s="3"/>
      <c r="AS756" s="3"/>
    </row>
    <row r="757" spans="1:45" ht="15">
      <c r="A757" s="66" t="s">
        <v>933</v>
      </c>
      <c r="B757" s="67"/>
      <c r="C757" s="67"/>
      <c r="D757" s="68"/>
      <c r="E757" s="70"/>
      <c r="F757" s="100" t="str">
        <f>HYPERLINK("https://i.ytimg.com/vi/0s4n_JXfS6A/default.jpg")</f>
        <v>https://i.ytimg.com/vi/0s4n_JXfS6A/default.jpg</v>
      </c>
      <c r="G757" s="67"/>
      <c r="H757" s="71"/>
      <c r="I757" s="72"/>
      <c r="J757" s="72"/>
      <c r="K757" s="71" t="s">
        <v>1987</v>
      </c>
      <c r="L757" s="75"/>
      <c r="M757" s="76">
        <v>7815.7236328125</v>
      </c>
      <c r="N757" s="76">
        <v>5673.62939453125</v>
      </c>
      <c r="O757" s="77"/>
      <c r="P757" s="78"/>
      <c r="Q757" s="78"/>
      <c r="R757" s="82"/>
      <c r="S757" s="82"/>
      <c r="T757" s="82"/>
      <c r="U757" s="82"/>
      <c r="V757" s="52"/>
      <c r="W757" s="52"/>
      <c r="X757" s="52"/>
      <c r="Y757" s="52"/>
      <c r="Z757" s="51"/>
      <c r="AA757" s="73">
        <v>757</v>
      </c>
      <c r="AB757" s="73"/>
      <c r="AC757" s="74"/>
      <c r="AD757" s="80" t="s">
        <v>1987</v>
      </c>
      <c r="AE757" s="80"/>
      <c r="AF757" s="80"/>
      <c r="AG757" s="80" t="s">
        <v>4381</v>
      </c>
      <c r="AH757" s="80" t="s">
        <v>5310</v>
      </c>
      <c r="AI757" s="80">
        <v>3368</v>
      </c>
      <c r="AJ757" s="80">
        <v>5</v>
      </c>
      <c r="AK757" s="80">
        <v>52</v>
      </c>
      <c r="AL757" s="80">
        <v>1</v>
      </c>
      <c r="AM757" s="80" t="s">
        <v>5614</v>
      </c>
      <c r="AN757" s="102" t="str">
        <f>HYPERLINK("https://www.youtube.com/watch?v=0s4n_JXfS6A")</f>
        <v>https://www.youtube.com/watch?v=0s4n_JXfS6A</v>
      </c>
      <c r="AO757" s="2"/>
      <c r="AP757" s="3"/>
      <c r="AQ757" s="3"/>
      <c r="AR757" s="3"/>
      <c r="AS757" s="3"/>
    </row>
    <row r="758" spans="1:45" ht="15">
      <c r="A758" s="66" t="s">
        <v>934</v>
      </c>
      <c r="B758" s="67"/>
      <c r="C758" s="67"/>
      <c r="D758" s="68"/>
      <c r="E758" s="70"/>
      <c r="F758" s="100" t="str">
        <f>HYPERLINK("https://i.ytimg.com/vi/8YBCEZnklQQ/default.jpg")</f>
        <v>https://i.ytimg.com/vi/8YBCEZnklQQ/default.jpg</v>
      </c>
      <c r="G758" s="67"/>
      <c r="H758" s="71"/>
      <c r="I758" s="72"/>
      <c r="J758" s="72"/>
      <c r="K758" s="71" t="s">
        <v>1988</v>
      </c>
      <c r="L758" s="75"/>
      <c r="M758" s="76">
        <v>8158.92626953125</v>
      </c>
      <c r="N758" s="76">
        <v>5531.1220703125</v>
      </c>
      <c r="O758" s="77"/>
      <c r="P758" s="78"/>
      <c r="Q758" s="78"/>
      <c r="R758" s="82"/>
      <c r="S758" s="82"/>
      <c r="T758" s="82"/>
      <c r="U758" s="82"/>
      <c r="V758" s="52"/>
      <c r="W758" s="52"/>
      <c r="X758" s="52"/>
      <c r="Y758" s="52"/>
      <c r="Z758" s="51"/>
      <c r="AA758" s="73">
        <v>758</v>
      </c>
      <c r="AB758" s="73"/>
      <c r="AC758" s="74"/>
      <c r="AD758" s="80" t="s">
        <v>1988</v>
      </c>
      <c r="AE758" s="80" t="s">
        <v>2924</v>
      </c>
      <c r="AF758" s="80" t="s">
        <v>3657</v>
      </c>
      <c r="AG758" s="80" t="s">
        <v>4382</v>
      </c>
      <c r="AH758" s="80" t="s">
        <v>5311</v>
      </c>
      <c r="AI758" s="80">
        <v>40130</v>
      </c>
      <c r="AJ758" s="80">
        <v>12</v>
      </c>
      <c r="AK758" s="80">
        <v>116</v>
      </c>
      <c r="AL758" s="80">
        <v>12</v>
      </c>
      <c r="AM758" s="80" t="s">
        <v>5614</v>
      </c>
      <c r="AN758" s="102" t="str">
        <f>HYPERLINK("https://www.youtube.com/watch?v=8YBCEZnklQQ")</f>
        <v>https://www.youtube.com/watch?v=8YBCEZnklQQ</v>
      </c>
      <c r="AO758" s="2"/>
      <c r="AP758" s="3"/>
      <c r="AQ758" s="3"/>
      <c r="AR758" s="3"/>
      <c r="AS758" s="3"/>
    </row>
    <row r="759" spans="1:45" ht="15">
      <c r="A759" s="66" t="s">
        <v>935</v>
      </c>
      <c r="B759" s="67"/>
      <c r="C759" s="67"/>
      <c r="D759" s="68"/>
      <c r="E759" s="70"/>
      <c r="F759" s="100" t="str">
        <f>HYPERLINK("https://i.ytimg.com/vi/eL6rfr19wW8/default.jpg")</f>
        <v>https://i.ytimg.com/vi/eL6rfr19wW8/default.jpg</v>
      </c>
      <c r="G759" s="67"/>
      <c r="H759" s="71"/>
      <c r="I759" s="72"/>
      <c r="J759" s="72"/>
      <c r="K759" s="71" t="s">
        <v>1989</v>
      </c>
      <c r="L759" s="75"/>
      <c r="M759" s="76">
        <v>7275.490234375</v>
      </c>
      <c r="N759" s="76">
        <v>6231.64013671875</v>
      </c>
      <c r="O759" s="77"/>
      <c r="P759" s="78"/>
      <c r="Q759" s="78"/>
      <c r="R759" s="82"/>
      <c r="S759" s="82"/>
      <c r="T759" s="82"/>
      <c r="U759" s="82"/>
      <c r="V759" s="52"/>
      <c r="W759" s="52"/>
      <c r="X759" s="52"/>
      <c r="Y759" s="52"/>
      <c r="Z759" s="51"/>
      <c r="AA759" s="73">
        <v>759</v>
      </c>
      <c r="AB759" s="73"/>
      <c r="AC759" s="74"/>
      <c r="AD759" s="80" t="s">
        <v>1989</v>
      </c>
      <c r="AE759" s="80" t="s">
        <v>2925</v>
      </c>
      <c r="AF759" s="80" t="s">
        <v>3658</v>
      </c>
      <c r="AG759" s="80" t="s">
        <v>4383</v>
      </c>
      <c r="AH759" s="80" t="s">
        <v>5312</v>
      </c>
      <c r="AI759" s="80">
        <v>2506</v>
      </c>
      <c r="AJ759" s="80">
        <v>6</v>
      </c>
      <c r="AK759" s="80">
        <v>60</v>
      </c>
      <c r="AL759" s="80">
        <v>4</v>
      </c>
      <c r="AM759" s="80" t="s">
        <v>5614</v>
      </c>
      <c r="AN759" s="102" t="str">
        <f>HYPERLINK("https://www.youtube.com/watch?v=eL6rfr19wW8")</f>
        <v>https://www.youtube.com/watch?v=eL6rfr19wW8</v>
      </c>
      <c r="AO759" s="2"/>
      <c r="AP759" s="3"/>
      <c r="AQ759" s="3"/>
      <c r="AR759" s="3"/>
      <c r="AS759" s="3"/>
    </row>
    <row r="760" spans="1:45" ht="15">
      <c r="A760" s="66" t="s">
        <v>936</v>
      </c>
      <c r="B760" s="67"/>
      <c r="C760" s="67"/>
      <c r="D760" s="68"/>
      <c r="E760" s="70"/>
      <c r="F760" s="100" t="str">
        <f>HYPERLINK("https://i.ytimg.com/vi/ho3myuCsMiA/default.jpg")</f>
        <v>https://i.ytimg.com/vi/ho3myuCsMiA/default.jpg</v>
      </c>
      <c r="G760" s="67"/>
      <c r="H760" s="71"/>
      <c r="I760" s="72"/>
      <c r="J760" s="72"/>
      <c r="K760" s="71" t="s">
        <v>1990</v>
      </c>
      <c r="L760" s="75"/>
      <c r="M760" s="76">
        <v>7230.73828125</v>
      </c>
      <c r="N760" s="76">
        <v>6268.35546875</v>
      </c>
      <c r="O760" s="77"/>
      <c r="P760" s="78"/>
      <c r="Q760" s="78"/>
      <c r="R760" s="82"/>
      <c r="S760" s="82"/>
      <c r="T760" s="82"/>
      <c r="U760" s="82"/>
      <c r="V760" s="52"/>
      <c r="W760" s="52"/>
      <c r="X760" s="52"/>
      <c r="Y760" s="52"/>
      <c r="Z760" s="51"/>
      <c r="AA760" s="73">
        <v>760</v>
      </c>
      <c r="AB760" s="73"/>
      <c r="AC760" s="74"/>
      <c r="AD760" s="80" t="s">
        <v>1990</v>
      </c>
      <c r="AE760" s="80"/>
      <c r="AF760" s="80"/>
      <c r="AG760" s="80" t="s">
        <v>4384</v>
      </c>
      <c r="AH760" s="80" t="s">
        <v>5313</v>
      </c>
      <c r="AI760" s="80">
        <v>98526</v>
      </c>
      <c r="AJ760" s="80">
        <v>91</v>
      </c>
      <c r="AK760" s="80">
        <v>913</v>
      </c>
      <c r="AL760" s="80">
        <v>139</v>
      </c>
      <c r="AM760" s="80" t="s">
        <v>5614</v>
      </c>
      <c r="AN760" s="102" t="str">
        <f>HYPERLINK("https://www.youtube.com/watch?v=ho3myuCsMiA")</f>
        <v>https://www.youtube.com/watch?v=ho3myuCsMiA</v>
      </c>
      <c r="AO760" s="2"/>
      <c r="AP760" s="3"/>
      <c r="AQ760" s="3"/>
      <c r="AR760" s="3"/>
      <c r="AS760" s="3"/>
    </row>
    <row r="761" spans="1:45" ht="15">
      <c r="A761" s="66" t="s">
        <v>937</v>
      </c>
      <c r="B761" s="67"/>
      <c r="C761" s="67"/>
      <c r="D761" s="68"/>
      <c r="E761" s="70"/>
      <c r="F761" s="100" t="str">
        <f>HYPERLINK("https://i.ytimg.com/vi/gMjgJ9-T31Y/default.jpg")</f>
        <v>https://i.ytimg.com/vi/gMjgJ9-T31Y/default.jpg</v>
      </c>
      <c r="G761" s="67"/>
      <c r="H761" s="71"/>
      <c r="I761" s="72"/>
      <c r="J761" s="72"/>
      <c r="K761" s="71" t="s">
        <v>1991</v>
      </c>
      <c r="L761" s="75"/>
      <c r="M761" s="76">
        <v>7948.90478515625</v>
      </c>
      <c r="N761" s="76">
        <v>5609.54736328125</v>
      </c>
      <c r="O761" s="77"/>
      <c r="P761" s="78"/>
      <c r="Q761" s="78"/>
      <c r="R761" s="82"/>
      <c r="S761" s="82"/>
      <c r="T761" s="82"/>
      <c r="U761" s="82"/>
      <c r="V761" s="52"/>
      <c r="W761" s="52"/>
      <c r="X761" s="52"/>
      <c r="Y761" s="52"/>
      <c r="Z761" s="51"/>
      <c r="AA761" s="73">
        <v>761</v>
      </c>
      <c r="AB761" s="73"/>
      <c r="AC761" s="74"/>
      <c r="AD761" s="80" t="s">
        <v>1991</v>
      </c>
      <c r="AE761" s="80" t="s">
        <v>2926</v>
      </c>
      <c r="AF761" s="80" t="s">
        <v>3659</v>
      </c>
      <c r="AG761" s="80" t="s">
        <v>4385</v>
      </c>
      <c r="AH761" s="80" t="s">
        <v>5314</v>
      </c>
      <c r="AI761" s="80">
        <v>83200</v>
      </c>
      <c r="AJ761" s="80">
        <v>32</v>
      </c>
      <c r="AK761" s="80">
        <v>353</v>
      </c>
      <c r="AL761" s="80">
        <v>43</v>
      </c>
      <c r="AM761" s="80" t="s">
        <v>5614</v>
      </c>
      <c r="AN761" s="102" t="str">
        <f>HYPERLINK("https://www.youtube.com/watch?v=gMjgJ9-T31Y")</f>
        <v>https://www.youtube.com/watch?v=gMjgJ9-T31Y</v>
      </c>
      <c r="AO761" s="2"/>
      <c r="AP761" s="3"/>
      <c r="AQ761" s="3"/>
      <c r="AR761" s="3"/>
      <c r="AS761" s="3"/>
    </row>
    <row r="762" spans="1:45" ht="15">
      <c r="A762" s="66" t="s">
        <v>938</v>
      </c>
      <c r="B762" s="67"/>
      <c r="C762" s="67"/>
      <c r="D762" s="68"/>
      <c r="E762" s="70"/>
      <c r="F762" s="100" t="str">
        <f>HYPERLINK("https://i.ytimg.com/vi/6NyxrxFTlNU/default.jpg")</f>
        <v>https://i.ytimg.com/vi/6NyxrxFTlNU/default.jpg</v>
      </c>
      <c r="G762" s="67"/>
      <c r="H762" s="71"/>
      <c r="I762" s="72"/>
      <c r="J762" s="72"/>
      <c r="K762" s="71" t="s">
        <v>1992</v>
      </c>
      <c r="L762" s="75"/>
      <c r="M762" s="76">
        <v>7423.625</v>
      </c>
      <c r="N762" s="76">
        <v>6076.23681640625</v>
      </c>
      <c r="O762" s="77"/>
      <c r="P762" s="78"/>
      <c r="Q762" s="78"/>
      <c r="R762" s="82"/>
      <c r="S762" s="82"/>
      <c r="T762" s="82"/>
      <c r="U762" s="82"/>
      <c r="V762" s="52"/>
      <c r="W762" s="52"/>
      <c r="X762" s="52"/>
      <c r="Y762" s="52"/>
      <c r="Z762" s="51"/>
      <c r="AA762" s="73">
        <v>762</v>
      </c>
      <c r="AB762" s="73"/>
      <c r="AC762" s="74"/>
      <c r="AD762" s="80" t="s">
        <v>1992</v>
      </c>
      <c r="AE762" s="80" t="s">
        <v>2927</v>
      </c>
      <c r="AF762" s="80" t="s">
        <v>3660</v>
      </c>
      <c r="AG762" s="80" t="s">
        <v>4386</v>
      </c>
      <c r="AH762" s="80" t="s">
        <v>5315</v>
      </c>
      <c r="AI762" s="80">
        <v>11765</v>
      </c>
      <c r="AJ762" s="80">
        <v>5</v>
      </c>
      <c r="AK762" s="80">
        <v>99</v>
      </c>
      <c r="AL762" s="80">
        <v>4</v>
      </c>
      <c r="AM762" s="80" t="s">
        <v>5614</v>
      </c>
      <c r="AN762" s="102" t="str">
        <f>HYPERLINK("https://www.youtube.com/watch?v=6NyxrxFTlNU")</f>
        <v>https://www.youtube.com/watch?v=6NyxrxFTlNU</v>
      </c>
      <c r="AO762" s="2"/>
      <c r="AP762" s="3"/>
      <c r="AQ762" s="3"/>
      <c r="AR762" s="3"/>
      <c r="AS762" s="3"/>
    </row>
    <row r="763" spans="1:45" ht="15">
      <c r="A763" s="66" t="s">
        <v>939</v>
      </c>
      <c r="B763" s="67"/>
      <c r="C763" s="67"/>
      <c r="D763" s="68"/>
      <c r="E763" s="70"/>
      <c r="F763" s="100" t="str">
        <f>HYPERLINK("https://i.ytimg.com/vi/YydE5D6cSyo/default.jpg")</f>
        <v>https://i.ytimg.com/vi/YydE5D6cSyo/default.jpg</v>
      </c>
      <c r="G763" s="67"/>
      <c r="H763" s="71"/>
      <c r="I763" s="72"/>
      <c r="J763" s="72"/>
      <c r="K763" s="71" t="s">
        <v>1993</v>
      </c>
      <c r="L763" s="75"/>
      <c r="M763" s="76">
        <v>7763.3623046875</v>
      </c>
      <c r="N763" s="76">
        <v>5825.7900390625</v>
      </c>
      <c r="O763" s="77"/>
      <c r="P763" s="78"/>
      <c r="Q763" s="78"/>
      <c r="R763" s="82"/>
      <c r="S763" s="82"/>
      <c r="T763" s="82"/>
      <c r="U763" s="82"/>
      <c r="V763" s="52"/>
      <c r="W763" s="52"/>
      <c r="X763" s="52"/>
      <c r="Y763" s="52"/>
      <c r="Z763" s="51"/>
      <c r="AA763" s="73">
        <v>763</v>
      </c>
      <c r="AB763" s="73"/>
      <c r="AC763" s="74"/>
      <c r="AD763" s="80" t="s">
        <v>1993</v>
      </c>
      <c r="AE763" s="80" t="s">
        <v>1993</v>
      </c>
      <c r="AF763" s="80"/>
      <c r="AG763" s="80" t="s">
        <v>4387</v>
      </c>
      <c r="AH763" s="80" t="s">
        <v>5316</v>
      </c>
      <c r="AI763" s="80">
        <v>46059</v>
      </c>
      <c r="AJ763" s="80">
        <v>28</v>
      </c>
      <c r="AK763" s="80">
        <v>437</v>
      </c>
      <c r="AL763" s="80">
        <v>19</v>
      </c>
      <c r="AM763" s="80" t="s">
        <v>5614</v>
      </c>
      <c r="AN763" s="102" t="str">
        <f>HYPERLINK("https://www.youtube.com/watch?v=YydE5D6cSyo")</f>
        <v>https://www.youtube.com/watch?v=YydE5D6cSyo</v>
      </c>
      <c r="AO763" s="2"/>
      <c r="AP763" s="3"/>
      <c r="AQ763" s="3"/>
      <c r="AR763" s="3"/>
      <c r="AS763" s="3"/>
    </row>
    <row r="764" spans="1:45" ht="15">
      <c r="A764" s="66" t="s">
        <v>940</v>
      </c>
      <c r="B764" s="67"/>
      <c r="C764" s="67"/>
      <c r="D764" s="68"/>
      <c r="E764" s="70"/>
      <c r="F764" s="100" t="str">
        <f>HYPERLINK("https://i.ytimg.com/vi/2oIXVtdDoe0/default.jpg")</f>
        <v>https://i.ytimg.com/vi/2oIXVtdDoe0/default.jpg</v>
      </c>
      <c r="G764" s="67"/>
      <c r="H764" s="71"/>
      <c r="I764" s="72"/>
      <c r="J764" s="72"/>
      <c r="K764" s="71" t="s">
        <v>1994</v>
      </c>
      <c r="L764" s="75"/>
      <c r="M764" s="76">
        <v>7619.771484375</v>
      </c>
      <c r="N764" s="76">
        <v>5984.60693359375</v>
      </c>
      <c r="O764" s="77"/>
      <c r="P764" s="78"/>
      <c r="Q764" s="78"/>
      <c r="R764" s="82"/>
      <c r="S764" s="82"/>
      <c r="T764" s="82"/>
      <c r="U764" s="82"/>
      <c r="V764" s="52"/>
      <c r="W764" s="52"/>
      <c r="X764" s="52"/>
      <c r="Y764" s="52"/>
      <c r="Z764" s="51"/>
      <c r="AA764" s="73">
        <v>764</v>
      </c>
      <c r="AB764" s="73"/>
      <c r="AC764" s="74"/>
      <c r="AD764" s="80" t="s">
        <v>1994</v>
      </c>
      <c r="AE764" s="80"/>
      <c r="AF764" s="80"/>
      <c r="AG764" s="80" t="s">
        <v>4388</v>
      </c>
      <c r="AH764" s="80" t="s">
        <v>5317</v>
      </c>
      <c r="AI764" s="80">
        <v>11330</v>
      </c>
      <c r="AJ764" s="80">
        <v>2</v>
      </c>
      <c r="AK764" s="80">
        <v>53</v>
      </c>
      <c r="AL764" s="80">
        <v>4</v>
      </c>
      <c r="AM764" s="80" t="s">
        <v>5614</v>
      </c>
      <c r="AN764" s="102" t="str">
        <f>HYPERLINK("https://www.youtube.com/watch?v=2oIXVtdDoe0")</f>
        <v>https://www.youtube.com/watch?v=2oIXVtdDoe0</v>
      </c>
      <c r="AO764" s="2"/>
      <c r="AP764" s="3"/>
      <c r="AQ764" s="3"/>
      <c r="AR764" s="3"/>
      <c r="AS764" s="3"/>
    </row>
    <row r="765" spans="1:45" ht="15">
      <c r="A765" s="66" t="s">
        <v>941</v>
      </c>
      <c r="B765" s="67"/>
      <c r="C765" s="67"/>
      <c r="D765" s="68"/>
      <c r="E765" s="70"/>
      <c r="F765" s="100" t="str">
        <f>HYPERLINK("https://i.ytimg.com/vi/xjupkaao4f0/default.jpg")</f>
        <v>https://i.ytimg.com/vi/xjupkaao4f0/default.jpg</v>
      </c>
      <c r="G765" s="67"/>
      <c r="H765" s="71"/>
      <c r="I765" s="72"/>
      <c r="J765" s="72"/>
      <c r="K765" s="71" t="s">
        <v>1995</v>
      </c>
      <c r="L765" s="75"/>
      <c r="M765" s="76">
        <v>7533.08740234375</v>
      </c>
      <c r="N765" s="76">
        <v>6016.04296875</v>
      </c>
      <c r="O765" s="77"/>
      <c r="P765" s="78"/>
      <c r="Q765" s="78"/>
      <c r="R765" s="82"/>
      <c r="S765" s="82"/>
      <c r="T765" s="82"/>
      <c r="U765" s="82"/>
      <c r="V765" s="52"/>
      <c r="W765" s="52"/>
      <c r="X765" s="52"/>
      <c r="Y765" s="52"/>
      <c r="Z765" s="51"/>
      <c r="AA765" s="73">
        <v>765</v>
      </c>
      <c r="AB765" s="73"/>
      <c r="AC765" s="74"/>
      <c r="AD765" s="80" t="s">
        <v>1995</v>
      </c>
      <c r="AE765" s="80" t="s">
        <v>2928</v>
      </c>
      <c r="AF765" s="80"/>
      <c r="AG765" s="80" t="s">
        <v>4389</v>
      </c>
      <c r="AH765" s="80" t="s">
        <v>5318</v>
      </c>
      <c r="AI765" s="80">
        <v>41114</v>
      </c>
      <c r="AJ765" s="80">
        <v>5</v>
      </c>
      <c r="AK765" s="80">
        <v>152</v>
      </c>
      <c r="AL765" s="80">
        <v>26</v>
      </c>
      <c r="AM765" s="80" t="s">
        <v>5614</v>
      </c>
      <c r="AN765" s="102" t="str">
        <f>HYPERLINK("https://www.youtube.com/watch?v=xjupkaao4f0")</f>
        <v>https://www.youtube.com/watch?v=xjupkaao4f0</v>
      </c>
      <c r="AO765" s="2"/>
      <c r="AP765" s="3"/>
      <c r="AQ765" s="3"/>
      <c r="AR765" s="3"/>
      <c r="AS765" s="3"/>
    </row>
    <row r="766" spans="1:45" ht="15">
      <c r="A766" s="66" t="s">
        <v>942</v>
      </c>
      <c r="B766" s="67"/>
      <c r="C766" s="67"/>
      <c r="D766" s="68"/>
      <c r="E766" s="70"/>
      <c r="F766" s="100" t="str">
        <f>HYPERLINK("https://i.ytimg.com/vi/Z_mTQhrFt5c/default.jpg")</f>
        <v>https://i.ytimg.com/vi/Z_mTQhrFt5c/default.jpg</v>
      </c>
      <c r="G766" s="67"/>
      <c r="H766" s="71"/>
      <c r="I766" s="72"/>
      <c r="J766" s="72"/>
      <c r="K766" s="71" t="s">
        <v>1996</v>
      </c>
      <c r="L766" s="75"/>
      <c r="M766" s="76">
        <v>8128.6328125</v>
      </c>
      <c r="N766" s="76">
        <v>5526.298828125</v>
      </c>
      <c r="O766" s="77"/>
      <c r="P766" s="78"/>
      <c r="Q766" s="78"/>
      <c r="R766" s="82"/>
      <c r="S766" s="82"/>
      <c r="T766" s="82"/>
      <c r="U766" s="82"/>
      <c r="V766" s="52"/>
      <c r="W766" s="52"/>
      <c r="X766" s="52"/>
      <c r="Y766" s="52"/>
      <c r="Z766" s="51"/>
      <c r="AA766" s="73">
        <v>766</v>
      </c>
      <c r="AB766" s="73"/>
      <c r="AC766" s="74"/>
      <c r="AD766" s="80" t="s">
        <v>1996</v>
      </c>
      <c r="AE766" s="80" t="s">
        <v>2929</v>
      </c>
      <c r="AF766" s="80"/>
      <c r="AG766" s="80" t="s">
        <v>4390</v>
      </c>
      <c r="AH766" s="80" t="s">
        <v>5319</v>
      </c>
      <c r="AI766" s="80">
        <v>58968</v>
      </c>
      <c r="AJ766" s="80">
        <v>23</v>
      </c>
      <c r="AK766" s="80">
        <v>379</v>
      </c>
      <c r="AL766" s="80">
        <v>72</v>
      </c>
      <c r="AM766" s="80" t="s">
        <v>5614</v>
      </c>
      <c r="AN766" s="102" t="str">
        <f>HYPERLINK("https://www.youtube.com/watch?v=Z_mTQhrFt5c")</f>
        <v>https://www.youtube.com/watch?v=Z_mTQhrFt5c</v>
      </c>
      <c r="AO766" s="2"/>
      <c r="AP766" s="3"/>
      <c r="AQ766" s="3"/>
      <c r="AR766" s="3"/>
      <c r="AS766" s="3"/>
    </row>
    <row r="767" spans="1:45" ht="15">
      <c r="A767" s="66" t="s">
        <v>943</v>
      </c>
      <c r="B767" s="67"/>
      <c r="C767" s="67"/>
      <c r="D767" s="68"/>
      <c r="E767" s="70"/>
      <c r="F767" s="100" t="str">
        <f>HYPERLINK("https://i.ytimg.com/vi/d7WdONCriXo/default.jpg")</f>
        <v>https://i.ytimg.com/vi/d7WdONCriXo/default.jpg</v>
      </c>
      <c r="G767" s="67"/>
      <c r="H767" s="71"/>
      <c r="I767" s="72"/>
      <c r="J767" s="72"/>
      <c r="K767" s="71" t="s">
        <v>1997</v>
      </c>
      <c r="L767" s="75"/>
      <c r="M767" s="76">
        <v>8062.7236328125</v>
      </c>
      <c r="N767" s="76">
        <v>5510.18115234375</v>
      </c>
      <c r="O767" s="77"/>
      <c r="P767" s="78"/>
      <c r="Q767" s="78"/>
      <c r="R767" s="82"/>
      <c r="S767" s="82"/>
      <c r="T767" s="82"/>
      <c r="U767" s="82"/>
      <c r="V767" s="52"/>
      <c r="W767" s="52"/>
      <c r="X767" s="52"/>
      <c r="Y767" s="52"/>
      <c r="Z767" s="51"/>
      <c r="AA767" s="73">
        <v>767</v>
      </c>
      <c r="AB767" s="73"/>
      <c r="AC767" s="74"/>
      <c r="AD767" s="80" t="s">
        <v>1997</v>
      </c>
      <c r="AE767" s="80" t="s">
        <v>2930</v>
      </c>
      <c r="AF767" s="80" t="s">
        <v>3661</v>
      </c>
      <c r="AG767" s="80" t="s">
        <v>4391</v>
      </c>
      <c r="AH767" s="80" t="s">
        <v>5320</v>
      </c>
      <c r="AI767" s="80">
        <v>16509</v>
      </c>
      <c r="AJ767" s="80">
        <v>51</v>
      </c>
      <c r="AK767" s="80">
        <v>398</v>
      </c>
      <c r="AL767" s="80">
        <v>7</v>
      </c>
      <c r="AM767" s="80" t="s">
        <v>5614</v>
      </c>
      <c r="AN767" s="102" t="str">
        <f>HYPERLINK("https://www.youtube.com/watch?v=d7WdONCriXo")</f>
        <v>https://www.youtube.com/watch?v=d7WdONCriXo</v>
      </c>
      <c r="AO767" s="2"/>
      <c r="AP767" s="3"/>
      <c r="AQ767" s="3"/>
      <c r="AR767" s="3"/>
      <c r="AS767" s="3"/>
    </row>
    <row r="768" spans="1:45" ht="15">
      <c r="A768" s="66" t="s">
        <v>944</v>
      </c>
      <c r="B768" s="67"/>
      <c r="C768" s="67"/>
      <c r="D768" s="68"/>
      <c r="E768" s="70"/>
      <c r="F768" s="100" t="str">
        <f>HYPERLINK("https://i.ytimg.com/vi/If6w3tbuRjA/default.jpg")</f>
        <v>https://i.ytimg.com/vi/If6w3tbuRjA/default.jpg</v>
      </c>
      <c r="G768" s="67"/>
      <c r="H768" s="71"/>
      <c r="I768" s="72"/>
      <c r="J768" s="72"/>
      <c r="K768" s="71" t="s">
        <v>1998</v>
      </c>
      <c r="L768" s="75"/>
      <c r="M768" s="76">
        <v>4400.8564453125</v>
      </c>
      <c r="N768" s="76">
        <v>4877.1083984375</v>
      </c>
      <c r="O768" s="77"/>
      <c r="P768" s="78"/>
      <c r="Q768" s="78"/>
      <c r="R768" s="82"/>
      <c r="S768" s="82"/>
      <c r="T768" s="82"/>
      <c r="U768" s="82"/>
      <c r="V768" s="52"/>
      <c r="W768" s="52"/>
      <c r="X768" s="52"/>
      <c r="Y768" s="52"/>
      <c r="Z768" s="51"/>
      <c r="AA768" s="73">
        <v>768</v>
      </c>
      <c r="AB768" s="73"/>
      <c r="AC768" s="74"/>
      <c r="AD768" s="80" t="s">
        <v>1998</v>
      </c>
      <c r="AE768" s="80" t="s">
        <v>2931</v>
      </c>
      <c r="AF768" s="80" t="s">
        <v>3662</v>
      </c>
      <c r="AG768" s="80" t="s">
        <v>4392</v>
      </c>
      <c r="AH768" s="80" t="s">
        <v>5321</v>
      </c>
      <c r="AI768" s="80">
        <v>4452</v>
      </c>
      <c r="AJ768" s="80">
        <v>1</v>
      </c>
      <c r="AK768" s="80">
        <v>30</v>
      </c>
      <c r="AL768" s="80">
        <v>3</v>
      </c>
      <c r="AM768" s="80" t="s">
        <v>5614</v>
      </c>
      <c r="AN768" s="102" t="str">
        <f>HYPERLINK("https://www.youtube.com/watch?v=If6w3tbuRjA")</f>
        <v>https://www.youtube.com/watch?v=If6w3tbuRjA</v>
      </c>
      <c r="AO768" s="2"/>
      <c r="AP768" s="3"/>
      <c r="AQ768" s="3"/>
      <c r="AR768" s="3"/>
      <c r="AS768" s="3"/>
    </row>
    <row r="769" spans="1:45" ht="15">
      <c r="A769" s="66" t="s">
        <v>945</v>
      </c>
      <c r="B769" s="67"/>
      <c r="C769" s="67"/>
      <c r="D769" s="68"/>
      <c r="E769" s="70"/>
      <c r="F769" s="100" t="str">
        <f>HYPERLINK("https://i.ytimg.com/vi/UnrUTPb-Bfs/default.jpg")</f>
        <v>https://i.ytimg.com/vi/UnrUTPb-Bfs/default.jpg</v>
      </c>
      <c r="G769" s="67"/>
      <c r="H769" s="71"/>
      <c r="I769" s="72"/>
      <c r="J769" s="72"/>
      <c r="K769" s="71" t="s">
        <v>1999</v>
      </c>
      <c r="L769" s="75"/>
      <c r="M769" s="76">
        <v>8055.24462890625</v>
      </c>
      <c r="N769" s="76">
        <v>5623.4033203125</v>
      </c>
      <c r="O769" s="77"/>
      <c r="P769" s="78"/>
      <c r="Q769" s="78"/>
      <c r="R769" s="82"/>
      <c r="S769" s="82"/>
      <c r="T769" s="82"/>
      <c r="U769" s="82"/>
      <c r="V769" s="52"/>
      <c r="W769" s="52"/>
      <c r="X769" s="52"/>
      <c r="Y769" s="52"/>
      <c r="Z769" s="51"/>
      <c r="AA769" s="73">
        <v>769</v>
      </c>
      <c r="AB769" s="73"/>
      <c r="AC769" s="74"/>
      <c r="AD769" s="80" t="s">
        <v>1999</v>
      </c>
      <c r="AE769" s="80" t="s">
        <v>2932</v>
      </c>
      <c r="AF769" s="80" t="s">
        <v>3663</v>
      </c>
      <c r="AG769" s="80" t="s">
        <v>4393</v>
      </c>
      <c r="AH769" s="80" t="s">
        <v>5322</v>
      </c>
      <c r="AI769" s="80">
        <v>2520</v>
      </c>
      <c r="AJ769" s="80">
        <v>6</v>
      </c>
      <c r="AK769" s="80">
        <v>14</v>
      </c>
      <c r="AL769" s="80">
        <v>1</v>
      </c>
      <c r="AM769" s="80" t="s">
        <v>5614</v>
      </c>
      <c r="AN769" s="102" t="str">
        <f>HYPERLINK("https://www.youtube.com/watch?v=UnrUTPb-Bfs")</f>
        <v>https://www.youtube.com/watch?v=UnrUTPb-Bfs</v>
      </c>
      <c r="AO769" s="2"/>
      <c r="AP769" s="3"/>
      <c r="AQ769" s="3"/>
      <c r="AR769" s="3"/>
      <c r="AS769" s="3"/>
    </row>
    <row r="770" spans="1:45" ht="15">
      <c r="A770" s="66" t="s">
        <v>946</v>
      </c>
      <c r="B770" s="67"/>
      <c r="C770" s="67"/>
      <c r="D770" s="68"/>
      <c r="E770" s="70"/>
      <c r="F770" s="100" t="str">
        <f>HYPERLINK("https://i.ytimg.com/vi/GZk6654uyus/default.jpg")</f>
        <v>https://i.ytimg.com/vi/GZk6654uyus/default.jpg</v>
      </c>
      <c r="G770" s="67"/>
      <c r="H770" s="71"/>
      <c r="I770" s="72"/>
      <c r="J770" s="72"/>
      <c r="K770" s="71" t="s">
        <v>2000</v>
      </c>
      <c r="L770" s="75"/>
      <c r="M770" s="76">
        <v>7470.37841796875</v>
      </c>
      <c r="N770" s="76">
        <v>6097.8994140625</v>
      </c>
      <c r="O770" s="77"/>
      <c r="P770" s="78"/>
      <c r="Q770" s="78"/>
      <c r="R770" s="82"/>
      <c r="S770" s="82"/>
      <c r="T770" s="82"/>
      <c r="U770" s="82"/>
      <c r="V770" s="52"/>
      <c r="W770" s="52"/>
      <c r="X770" s="52"/>
      <c r="Y770" s="52"/>
      <c r="Z770" s="51"/>
      <c r="AA770" s="73">
        <v>770</v>
      </c>
      <c r="AB770" s="73"/>
      <c r="AC770" s="74"/>
      <c r="AD770" s="80" t="s">
        <v>2000</v>
      </c>
      <c r="AE770" s="80" t="s">
        <v>2933</v>
      </c>
      <c r="AF770" s="80" t="s">
        <v>3664</v>
      </c>
      <c r="AG770" s="80" t="s">
        <v>4394</v>
      </c>
      <c r="AH770" s="80" t="s">
        <v>5323</v>
      </c>
      <c r="AI770" s="80">
        <v>10575</v>
      </c>
      <c r="AJ770" s="80">
        <v>3</v>
      </c>
      <c r="AK770" s="80">
        <v>148</v>
      </c>
      <c r="AL770" s="80">
        <v>8</v>
      </c>
      <c r="AM770" s="80" t="s">
        <v>5614</v>
      </c>
      <c r="AN770" s="102" t="str">
        <f>HYPERLINK("https://www.youtube.com/watch?v=GZk6654uyus")</f>
        <v>https://www.youtube.com/watch?v=GZk6654uyus</v>
      </c>
      <c r="AO770" s="2"/>
      <c r="AP770" s="3"/>
      <c r="AQ770" s="3"/>
      <c r="AR770" s="3"/>
      <c r="AS770" s="3"/>
    </row>
    <row r="771" spans="1:45" ht="15">
      <c r="A771" s="66" t="s">
        <v>947</v>
      </c>
      <c r="B771" s="67"/>
      <c r="C771" s="67"/>
      <c r="D771" s="68"/>
      <c r="E771" s="70"/>
      <c r="F771" s="100" t="str">
        <f>HYPERLINK("https://i.ytimg.com/vi/mD40nKwbi0s/default.jpg")</f>
        <v>https://i.ytimg.com/vi/mD40nKwbi0s/default.jpg</v>
      </c>
      <c r="G771" s="67"/>
      <c r="H771" s="71"/>
      <c r="I771" s="72"/>
      <c r="J771" s="72"/>
      <c r="K771" s="71" t="s">
        <v>2001</v>
      </c>
      <c r="L771" s="75"/>
      <c r="M771" s="76">
        <v>8003.72998046875</v>
      </c>
      <c r="N771" s="76">
        <v>5774.15869140625</v>
      </c>
      <c r="O771" s="77"/>
      <c r="P771" s="78"/>
      <c r="Q771" s="78"/>
      <c r="R771" s="82"/>
      <c r="S771" s="82"/>
      <c r="T771" s="82"/>
      <c r="U771" s="82"/>
      <c r="V771" s="52"/>
      <c r="W771" s="52"/>
      <c r="X771" s="52"/>
      <c r="Y771" s="52"/>
      <c r="Z771" s="51"/>
      <c r="AA771" s="73">
        <v>771</v>
      </c>
      <c r="AB771" s="73"/>
      <c r="AC771" s="74"/>
      <c r="AD771" s="80" t="s">
        <v>2001</v>
      </c>
      <c r="AE771" s="80" t="s">
        <v>2934</v>
      </c>
      <c r="AF771" s="80" t="s">
        <v>3665</v>
      </c>
      <c r="AG771" s="80" t="s">
        <v>4395</v>
      </c>
      <c r="AH771" s="80" t="s">
        <v>5324</v>
      </c>
      <c r="AI771" s="80">
        <v>39404</v>
      </c>
      <c r="AJ771" s="80">
        <v>0</v>
      </c>
      <c r="AK771" s="80">
        <v>0</v>
      </c>
      <c r="AL771" s="80">
        <v>0</v>
      </c>
      <c r="AM771" s="80" t="s">
        <v>5614</v>
      </c>
      <c r="AN771" s="102" t="str">
        <f>HYPERLINK("https://www.youtube.com/watch?v=mD40nKwbi0s")</f>
        <v>https://www.youtube.com/watch?v=mD40nKwbi0s</v>
      </c>
      <c r="AO771" s="2"/>
      <c r="AP771" s="3"/>
      <c r="AQ771" s="3"/>
      <c r="AR771" s="3"/>
      <c r="AS771" s="3"/>
    </row>
    <row r="772" spans="1:45" ht="15">
      <c r="A772" s="66" t="s">
        <v>948</v>
      </c>
      <c r="B772" s="67"/>
      <c r="C772" s="67"/>
      <c r="D772" s="68"/>
      <c r="E772" s="70"/>
      <c r="F772" s="100" t="str">
        <f>HYPERLINK("https://i.ytimg.com/vi/mVfrdcX9rXE/default.jpg")</f>
        <v>https://i.ytimg.com/vi/mVfrdcX9rXE/default.jpg</v>
      </c>
      <c r="G772" s="67"/>
      <c r="H772" s="71"/>
      <c r="I772" s="72"/>
      <c r="J772" s="72"/>
      <c r="K772" s="71" t="s">
        <v>2002</v>
      </c>
      <c r="L772" s="75"/>
      <c r="M772" s="76">
        <v>7719.125</v>
      </c>
      <c r="N772" s="76">
        <v>5919.06396484375</v>
      </c>
      <c r="O772" s="77"/>
      <c r="P772" s="78"/>
      <c r="Q772" s="78"/>
      <c r="R772" s="82"/>
      <c r="S772" s="82"/>
      <c r="T772" s="82"/>
      <c r="U772" s="82"/>
      <c r="V772" s="52"/>
      <c r="W772" s="52"/>
      <c r="X772" s="52"/>
      <c r="Y772" s="52"/>
      <c r="Z772" s="51"/>
      <c r="AA772" s="73">
        <v>772</v>
      </c>
      <c r="AB772" s="73"/>
      <c r="AC772" s="74"/>
      <c r="AD772" s="80" t="s">
        <v>2002</v>
      </c>
      <c r="AE772" s="80" t="s">
        <v>2935</v>
      </c>
      <c r="AF772" s="80" t="s">
        <v>3666</v>
      </c>
      <c r="AG772" s="80" t="s">
        <v>4396</v>
      </c>
      <c r="AH772" s="80" t="s">
        <v>5325</v>
      </c>
      <c r="AI772" s="80">
        <v>12271</v>
      </c>
      <c r="AJ772" s="80">
        <v>0</v>
      </c>
      <c r="AK772" s="80">
        <v>19</v>
      </c>
      <c r="AL772" s="80">
        <v>3</v>
      </c>
      <c r="AM772" s="80" t="s">
        <v>5614</v>
      </c>
      <c r="AN772" s="102" t="str">
        <f>HYPERLINK("https://www.youtube.com/watch?v=mVfrdcX9rXE")</f>
        <v>https://www.youtube.com/watch?v=mVfrdcX9rXE</v>
      </c>
      <c r="AO772" s="2"/>
      <c r="AP772" s="3"/>
      <c r="AQ772" s="3"/>
      <c r="AR772" s="3"/>
      <c r="AS772" s="3"/>
    </row>
    <row r="773" spans="1:45" ht="15">
      <c r="A773" s="66" t="s">
        <v>949</v>
      </c>
      <c r="B773" s="67"/>
      <c r="C773" s="67"/>
      <c r="D773" s="68"/>
      <c r="E773" s="70"/>
      <c r="F773" s="100" t="str">
        <f>HYPERLINK("https://i.ytimg.com/vi/_LaLy5_fsNo/default.jpg")</f>
        <v>https://i.ytimg.com/vi/_LaLy5_fsNo/default.jpg</v>
      </c>
      <c r="G773" s="67"/>
      <c r="H773" s="71"/>
      <c r="I773" s="72"/>
      <c r="J773" s="72"/>
      <c r="K773" s="71" t="s">
        <v>2003</v>
      </c>
      <c r="L773" s="75"/>
      <c r="M773" s="76">
        <v>7339.69580078125</v>
      </c>
      <c r="N773" s="76">
        <v>6170.3798828125</v>
      </c>
      <c r="O773" s="77"/>
      <c r="P773" s="78"/>
      <c r="Q773" s="78"/>
      <c r="R773" s="82"/>
      <c r="S773" s="82"/>
      <c r="T773" s="82"/>
      <c r="U773" s="82"/>
      <c r="V773" s="52"/>
      <c r="W773" s="52"/>
      <c r="X773" s="52"/>
      <c r="Y773" s="52"/>
      <c r="Z773" s="51"/>
      <c r="AA773" s="73">
        <v>773</v>
      </c>
      <c r="AB773" s="73"/>
      <c r="AC773" s="74"/>
      <c r="AD773" s="80" t="s">
        <v>2003</v>
      </c>
      <c r="AE773" s="80" t="s">
        <v>2936</v>
      </c>
      <c r="AF773" s="80"/>
      <c r="AG773" s="80" t="s">
        <v>4397</v>
      </c>
      <c r="AH773" s="80" t="s">
        <v>5326</v>
      </c>
      <c r="AI773" s="80">
        <v>49929</v>
      </c>
      <c r="AJ773" s="80">
        <v>41</v>
      </c>
      <c r="AK773" s="80">
        <v>863</v>
      </c>
      <c r="AL773" s="80">
        <v>48</v>
      </c>
      <c r="AM773" s="80" t="s">
        <v>5614</v>
      </c>
      <c r="AN773" s="102" t="str">
        <f>HYPERLINK("https://www.youtube.com/watch?v=_LaLy5_fsNo")</f>
        <v>https://www.youtube.com/watch?v=_LaLy5_fsNo</v>
      </c>
      <c r="AO773" s="2"/>
      <c r="AP773" s="3"/>
      <c r="AQ773" s="3"/>
      <c r="AR773" s="3"/>
      <c r="AS773" s="3"/>
    </row>
    <row r="774" spans="1:45" ht="15">
      <c r="A774" s="66" t="s">
        <v>950</v>
      </c>
      <c r="B774" s="67"/>
      <c r="C774" s="67"/>
      <c r="D774" s="68"/>
      <c r="E774" s="70"/>
      <c r="F774" s="100" t="str">
        <f>HYPERLINK("https://i.ytimg.com/vi/OP-N7R6gmhA/default.jpg")</f>
        <v>https://i.ytimg.com/vi/OP-N7R6gmhA/default.jpg</v>
      </c>
      <c r="G774" s="67"/>
      <c r="H774" s="71"/>
      <c r="I774" s="72"/>
      <c r="J774" s="72"/>
      <c r="K774" s="71" t="s">
        <v>2004</v>
      </c>
      <c r="L774" s="75"/>
      <c r="M774" s="76">
        <v>7851.4541015625</v>
      </c>
      <c r="N774" s="76">
        <v>5712.20849609375</v>
      </c>
      <c r="O774" s="77"/>
      <c r="P774" s="78"/>
      <c r="Q774" s="78"/>
      <c r="R774" s="82"/>
      <c r="S774" s="82"/>
      <c r="T774" s="82"/>
      <c r="U774" s="82"/>
      <c r="V774" s="52"/>
      <c r="W774" s="52"/>
      <c r="X774" s="52"/>
      <c r="Y774" s="52"/>
      <c r="Z774" s="51"/>
      <c r="AA774" s="73">
        <v>774</v>
      </c>
      <c r="AB774" s="73"/>
      <c r="AC774" s="74"/>
      <c r="AD774" s="80" t="s">
        <v>2004</v>
      </c>
      <c r="AE774" s="80" t="s">
        <v>2937</v>
      </c>
      <c r="AF774" s="80"/>
      <c r="AG774" s="80" t="s">
        <v>4398</v>
      </c>
      <c r="AH774" s="80" t="s">
        <v>5327</v>
      </c>
      <c r="AI774" s="80">
        <v>75910</v>
      </c>
      <c r="AJ774" s="80">
        <v>22</v>
      </c>
      <c r="AK774" s="80">
        <v>437</v>
      </c>
      <c r="AL774" s="80">
        <v>53</v>
      </c>
      <c r="AM774" s="80" t="s">
        <v>5614</v>
      </c>
      <c r="AN774" s="102" t="str">
        <f>HYPERLINK("https://www.youtube.com/watch?v=OP-N7R6gmhA")</f>
        <v>https://www.youtube.com/watch?v=OP-N7R6gmhA</v>
      </c>
      <c r="AO774" s="2"/>
      <c r="AP774" s="3"/>
      <c r="AQ774" s="3"/>
      <c r="AR774" s="3"/>
      <c r="AS774" s="3"/>
    </row>
    <row r="775" spans="1:45" ht="15">
      <c r="A775" s="66" t="s">
        <v>951</v>
      </c>
      <c r="B775" s="67"/>
      <c r="C775" s="67"/>
      <c r="D775" s="68"/>
      <c r="E775" s="70"/>
      <c r="F775" s="100" t="str">
        <f>HYPERLINK("https://i.ytimg.com/vi/Wk5NG1V4hG8/default.jpg")</f>
        <v>https://i.ytimg.com/vi/Wk5NG1V4hG8/default.jpg</v>
      </c>
      <c r="G775" s="67"/>
      <c r="H775" s="71"/>
      <c r="I775" s="72"/>
      <c r="J775" s="72"/>
      <c r="K775" s="71" t="s">
        <v>2005</v>
      </c>
      <c r="L775" s="75"/>
      <c r="M775" s="76">
        <v>7749.94775390625</v>
      </c>
      <c r="N775" s="76">
        <v>5865.2578125</v>
      </c>
      <c r="O775" s="77"/>
      <c r="P775" s="78"/>
      <c r="Q775" s="78"/>
      <c r="R775" s="82"/>
      <c r="S775" s="82"/>
      <c r="T775" s="82"/>
      <c r="U775" s="82"/>
      <c r="V775" s="52"/>
      <c r="W775" s="52"/>
      <c r="X775" s="52"/>
      <c r="Y775" s="52"/>
      <c r="Z775" s="51"/>
      <c r="AA775" s="73">
        <v>775</v>
      </c>
      <c r="AB775" s="73"/>
      <c r="AC775" s="74"/>
      <c r="AD775" s="80" t="s">
        <v>2005</v>
      </c>
      <c r="AE775" s="80" t="s">
        <v>2938</v>
      </c>
      <c r="AF775" s="80" t="s">
        <v>3667</v>
      </c>
      <c r="AG775" s="80" t="s">
        <v>4399</v>
      </c>
      <c r="AH775" s="80" t="s">
        <v>5328</v>
      </c>
      <c r="AI775" s="80">
        <v>4097772</v>
      </c>
      <c r="AJ775" s="80">
        <v>1282</v>
      </c>
      <c r="AK775" s="80">
        <v>38470</v>
      </c>
      <c r="AL775" s="80">
        <v>2833</v>
      </c>
      <c r="AM775" s="80" t="s">
        <v>5614</v>
      </c>
      <c r="AN775" s="102" t="str">
        <f>HYPERLINK("https://www.youtube.com/watch?v=Wk5NG1V4hG8")</f>
        <v>https://www.youtube.com/watch?v=Wk5NG1V4hG8</v>
      </c>
      <c r="AO775" s="2"/>
      <c r="AP775" s="3"/>
      <c r="AQ775" s="3"/>
      <c r="AR775" s="3"/>
      <c r="AS775" s="3"/>
    </row>
    <row r="776" spans="1:45" ht="15">
      <c r="A776" s="66" t="s">
        <v>952</v>
      </c>
      <c r="B776" s="67"/>
      <c r="C776" s="67"/>
      <c r="D776" s="68"/>
      <c r="E776" s="70"/>
      <c r="F776" s="100" t="str">
        <f>HYPERLINK("https://i.ytimg.com/vi/dh7jdtds2u8/default.jpg")</f>
        <v>https://i.ytimg.com/vi/dh7jdtds2u8/default.jpg</v>
      </c>
      <c r="G776" s="67"/>
      <c r="H776" s="71"/>
      <c r="I776" s="72"/>
      <c r="J776" s="72"/>
      <c r="K776" s="71" t="s">
        <v>2006</v>
      </c>
      <c r="L776" s="75"/>
      <c r="M776" s="76">
        <v>7282.677734375</v>
      </c>
      <c r="N776" s="76">
        <v>6186.51171875</v>
      </c>
      <c r="O776" s="77"/>
      <c r="P776" s="78"/>
      <c r="Q776" s="78"/>
      <c r="R776" s="82"/>
      <c r="S776" s="82"/>
      <c r="T776" s="82"/>
      <c r="U776" s="82"/>
      <c r="V776" s="52"/>
      <c r="W776" s="52"/>
      <c r="X776" s="52"/>
      <c r="Y776" s="52"/>
      <c r="Z776" s="51"/>
      <c r="AA776" s="73">
        <v>776</v>
      </c>
      <c r="AB776" s="73"/>
      <c r="AC776" s="74"/>
      <c r="AD776" s="80" t="s">
        <v>2006</v>
      </c>
      <c r="AE776" s="80" t="s">
        <v>2939</v>
      </c>
      <c r="AF776" s="80"/>
      <c r="AG776" s="80" t="s">
        <v>4400</v>
      </c>
      <c r="AH776" s="80" t="s">
        <v>5329</v>
      </c>
      <c r="AI776" s="80">
        <v>202125</v>
      </c>
      <c r="AJ776" s="80">
        <v>87</v>
      </c>
      <c r="AK776" s="80">
        <v>969</v>
      </c>
      <c r="AL776" s="80">
        <v>105</v>
      </c>
      <c r="AM776" s="80" t="s">
        <v>5614</v>
      </c>
      <c r="AN776" s="102" t="str">
        <f>HYPERLINK("https://www.youtube.com/watch?v=dh7jdtds2u8")</f>
        <v>https://www.youtube.com/watch?v=dh7jdtds2u8</v>
      </c>
      <c r="AO776" s="2"/>
      <c r="AP776" s="3"/>
      <c r="AQ776" s="3"/>
      <c r="AR776" s="3"/>
      <c r="AS776" s="3"/>
    </row>
    <row r="777" spans="1:45" ht="15">
      <c r="A777" s="66" t="s">
        <v>953</v>
      </c>
      <c r="B777" s="67"/>
      <c r="C777" s="67"/>
      <c r="D777" s="68"/>
      <c r="E777" s="70"/>
      <c r="F777" s="100" t="str">
        <f>HYPERLINK("https://i.ytimg.com/vi/qH18DIX1prA/default.jpg")</f>
        <v>https://i.ytimg.com/vi/qH18DIX1prA/default.jpg</v>
      </c>
      <c r="G777" s="67"/>
      <c r="H777" s="71"/>
      <c r="I777" s="72"/>
      <c r="J777" s="72"/>
      <c r="K777" s="71" t="s">
        <v>2007</v>
      </c>
      <c r="L777" s="75"/>
      <c r="M777" s="76">
        <v>7564.03515625</v>
      </c>
      <c r="N777" s="76">
        <v>6079.92138671875</v>
      </c>
      <c r="O777" s="77"/>
      <c r="P777" s="78"/>
      <c r="Q777" s="78"/>
      <c r="R777" s="82"/>
      <c r="S777" s="82"/>
      <c r="T777" s="82"/>
      <c r="U777" s="82"/>
      <c r="V777" s="52"/>
      <c r="W777" s="52"/>
      <c r="X777" s="52"/>
      <c r="Y777" s="52"/>
      <c r="Z777" s="51"/>
      <c r="AA777" s="73">
        <v>777</v>
      </c>
      <c r="AB777" s="73"/>
      <c r="AC777" s="74"/>
      <c r="AD777" s="80" t="s">
        <v>2007</v>
      </c>
      <c r="AE777" s="80" t="s">
        <v>2940</v>
      </c>
      <c r="AF777" s="80" t="s">
        <v>3668</v>
      </c>
      <c r="AG777" s="80" t="s">
        <v>4401</v>
      </c>
      <c r="AH777" s="80" t="s">
        <v>5330</v>
      </c>
      <c r="AI777" s="80">
        <v>59802</v>
      </c>
      <c r="AJ777" s="80">
        <v>8</v>
      </c>
      <c r="AK777" s="80">
        <v>113</v>
      </c>
      <c r="AL777" s="80">
        <v>4</v>
      </c>
      <c r="AM777" s="80" t="s">
        <v>5614</v>
      </c>
      <c r="AN777" s="102" t="str">
        <f>HYPERLINK("https://www.youtube.com/watch?v=qH18DIX1prA")</f>
        <v>https://www.youtube.com/watch?v=qH18DIX1prA</v>
      </c>
      <c r="AO777" s="2"/>
      <c r="AP777" s="3"/>
      <c r="AQ777" s="3"/>
      <c r="AR777" s="3"/>
      <c r="AS777" s="3"/>
    </row>
    <row r="778" spans="1:45" ht="15">
      <c r="A778" s="66" t="s">
        <v>954</v>
      </c>
      <c r="B778" s="67"/>
      <c r="C778" s="67"/>
      <c r="D778" s="68"/>
      <c r="E778" s="70"/>
      <c r="F778" s="100" t="str">
        <f>HYPERLINK("https://i.ytimg.com/vi/s2VhRwNQdgk/default.jpg")</f>
        <v>https://i.ytimg.com/vi/s2VhRwNQdgk/default.jpg</v>
      </c>
      <c r="G778" s="67"/>
      <c r="H778" s="71"/>
      <c r="I778" s="72"/>
      <c r="J778" s="72"/>
      <c r="K778" s="71" t="s">
        <v>2008</v>
      </c>
      <c r="L778" s="75"/>
      <c r="M778" s="76">
        <v>7686.22265625</v>
      </c>
      <c r="N778" s="76">
        <v>5840.57373046875</v>
      </c>
      <c r="O778" s="77"/>
      <c r="P778" s="78"/>
      <c r="Q778" s="78"/>
      <c r="R778" s="82"/>
      <c r="S778" s="82"/>
      <c r="T778" s="82"/>
      <c r="U778" s="82"/>
      <c r="V778" s="52"/>
      <c r="W778" s="52"/>
      <c r="X778" s="52"/>
      <c r="Y778" s="52"/>
      <c r="Z778" s="51"/>
      <c r="AA778" s="73">
        <v>778</v>
      </c>
      <c r="AB778" s="73"/>
      <c r="AC778" s="74"/>
      <c r="AD778" s="80" t="s">
        <v>2008</v>
      </c>
      <c r="AE778" s="80" t="s">
        <v>2941</v>
      </c>
      <c r="AF778" s="80" t="s">
        <v>3669</v>
      </c>
      <c r="AG778" s="80" t="s">
        <v>3877</v>
      </c>
      <c r="AH778" s="80" t="s">
        <v>5331</v>
      </c>
      <c r="AI778" s="80">
        <v>68494</v>
      </c>
      <c r="AJ778" s="80">
        <v>9</v>
      </c>
      <c r="AK778" s="80">
        <v>155</v>
      </c>
      <c r="AL778" s="80">
        <v>31</v>
      </c>
      <c r="AM778" s="80" t="s">
        <v>5614</v>
      </c>
      <c r="AN778" s="102" t="str">
        <f>HYPERLINK("https://www.youtube.com/watch?v=s2VhRwNQdgk")</f>
        <v>https://www.youtube.com/watch?v=s2VhRwNQdgk</v>
      </c>
      <c r="AO778" s="2"/>
      <c r="AP778" s="3"/>
      <c r="AQ778" s="3"/>
      <c r="AR778" s="3"/>
      <c r="AS778" s="3"/>
    </row>
    <row r="779" spans="1:45" ht="15">
      <c r="A779" s="66" t="s">
        <v>955</v>
      </c>
      <c r="B779" s="67"/>
      <c r="C779" s="67"/>
      <c r="D779" s="68"/>
      <c r="E779" s="70"/>
      <c r="F779" s="100" t="str">
        <f>HYPERLINK("https://i.ytimg.com/vi/fvtKe7s8Mls/default.jpg")</f>
        <v>https://i.ytimg.com/vi/fvtKe7s8Mls/default.jpg</v>
      </c>
      <c r="G779" s="67"/>
      <c r="H779" s="71"/>
      <c r="I779" s="72"/>
      <c r="J779" s="72"/>
      <c r="K779" s="71" t="s">
        <v>2009</v>
      </c>
      <c r="L779" s="75"/>
      <c r="M779" s="76">
        <v>7273.75830078125</v>
      </c>
      <c r="N779" s="76">
        <v>6137.34375</v>
      </c>
      <c r="O779" s="77"/>
      <c r="P779" s="78"/>
      <c r="Q779" s="78"/>
      <c r="R779" s="82"/>
      <c r="S779" s="82"/>
      <c r="T779" s="82"/>
      <c r="U779" s="82"/>
      <c r="V779" s="52"/>
      <c r="W779" s="52"/>
      <c r="X779" s="52"/>
      <c r="Y779" s="52"/>
      <c r="Z779" s="51"/>
      <c r="AA779" s="73">
        <v>779</v>
      </c>
      <c r="AB779" s="73"/>
      <c r="AC779" s="74"/>
      <c r="AD779" s="80" t="s">
        <v>2009</v>
      </c>
      <c r="AE779" s="80"/>
      <c r="AF779" s="80"/>
      <c r="AG779" s="80" t="s">
        <v>4402</v>
      </c>
      <c r="AH779" s="80" t="s">
        <v>5332</v>
      </c>
      <c r="AI779" s="80">
        <v>3927</v>
      </c>
      <c r="AJ779" s="80">
        <v>2</v>
      </c>
      <c r="AK779" s="80">
        <v>40</v>
      </c>
      <c r="AL779" s="80">
        <v>4</v>
      </c>
      <c r="AM779" s="80" t="s">
        <v>5614</v>
      </c>
      <c r="AN779" s="102" t="str">
        <f>HYPERLINK("https://www.youtube.com/watch?v=fvtKe7s8Mls")</f>
        <v>https://www.youtube.com/watch?v=fvtKe7s8Mls</v>
      </c>
      <c r="AO779" s="2"/>
      <c r="AP779" s="3"/>
      <c r="AQ779" s="3"/>
      <c r="AR779" s="3"/>
      <c r="AS779" s="3"/>
    </row>
    <row r="780" spans="1:45" ht="15">
      <c r="A780" s="66" t="s">
        <v>956</v>
      </c>
      <c r="B780" s="67"/>
      <c r="C780" s="67"/>
      <c r="D780" s="68"/>
      <c r="E780" s="70"/>
      <c r="F780" s="100" t="str">
        <f>HYPERLINK("https://i.ytimg.com/vi/W9WOwQTF4kg/default.jpg")</f>
        <v>https://i.ytimg.com/vi/W9WOwQTF4kg/default.jpg</v>
      </c>
      <c r="G780" s="67"/>
      <c r="H780" s="71"/>
      <c r="I780" s="72"/>
      <c r="J780" s="72"/>
      <c r="K780" s="71" t="s">
        <v>2010</v>
      </c>
      <c r="L780" s="75"/>
      <c r="M780" s="76">
        <v>7394.2138671875</v>
      </c>
      <c r="N780" s="76">
        <v>6120.01123046875</v>
      </c>
      <c r="O780" s="77"/>
      <c r="P780" s="78"/>
      <c r="Q780" s="78"/>
      <c r="R780" s="82"/>
      <c r="S780" s="82"/>
      <c r="T780" s="82"/>
      <c r="U780" s="82"/>
      <c r="V780" s="52"/>
      <c r="W780" s="52"/>
      <c r="X780" s="52"/>
      <c r="Y780" s="52"/>
      <c r="Z780" s="51"/>
      <c r="AA780" s="73">
        <v>780</v>
      </c>
      <c r="AB780" s="73"/>
      <c r="AC780" s="74"/>
      <c r="AD780" s="80" t="s">
        <v>2010</v>
      </c>
      <c r="AE780" s="80" t="s">
        <v>2942</v>
      </c>
      <c r="AF780" s="80"/>
      <c r="AG780" s="80" t="s">
        <v>4289</v>
      </c>
      <c r="AH780" s="80" t="s">
        <v>5333</v>
      </c>
      <c r="AI780" s="80">
        <v>2742</v>
      </c>
      <c r="AJ780" s="80">
        <v>1</v>
      </c>
      <c r="AK780" s="80">
        <v>58</v>
      </c>
      <c r="AL780" s="80">
        <v>0</v>
      </c>
      <c r="AM780" s="80" t="s">
        <v>5614</v>
      </c>
      <c r="AN780" s="102" t="str">
        <f>HYPERLINK("https://www.youtube.com/watch?v=W9WOwQTF4kg")</f>
        <v>https://www.youtube.com/watch?v=W9WOwQTF4kg</v>
      </c>
      <c r="AO780" s="2"/>
      <c r="AP780" s="3"/>
      <c r="AQ780" s="3"/>
      <c r="AR780" s="3"/>
      <c r="AS780" s="3"/>
    </row>
    <row r="781" spans="1:45" ht="15">
      <c r="A781" s="66" t="s">
        <v>957</v>
      </c>
      <c r="B781" s="67"/>
      <c r="C781" s="67"/>
      <c r="D781" s="68"/>
      <c r="E781" s="70"/>
      <c r="F781" s="100" t="str">
        <f>HYPERLINK("https://i.ytimg.com/vi/x94vCNcsxgs/default.jpg")</f>
        <v>https://i.ytimg.com/vi/x94vCNcsxgs/default.jpg</v>
      </c>
      <c r="G781" s="67"/>
      <c r="H781" s="71"/>
      <c r="I781" s="72"/>
      <c r="J781" s="72"/>
      <c r="K781" s="71" t="s">
        <v>2011</v>
      </c>
      <c r="L781" s="75"/>
      <c r="M781" s="76">
        <v>7944.966796875</v>
      </c>
      <c r="N781" s="76">
        <v>5724.453125</v>
      </c>
      <c r="O781" s="77"/>
      <c r="P781" s="78"/>
      <c r="Q781" s="78"/>
      <c r="R781" s="82"/>
      <c r="S781" s="82"/>
      <c r="T781" s="82"/>
      <c r="U781" s="82"/>
      <c r="V781" s="52"/>
      <c r="W781" s="52"/>
      <c r="X781" s="52"/>
      <c r="Y781" s="52"/>
      <c r="Z781" s="51"/>
      <c r="AA781" s="73">
        <v>781</v>
      </c>
      <c r="AB781" s="73"/>
      <c r="AC781" s="74"/>
      <c r="AD781" s="80" t="s">
        <v>2011</v>
      </c>
      <c r="AE781" s="80" t="s">
        <v>2943</v>
      </c>
      <c r="AF781" s="80" t="s">
        <v>3670</v>
      </c>
      <c r="AG781" s="80" t="s">
        <v>3884</v>
      </c>
      <c r="AH781" s="80" t="s">
        <v>5334</v>
      </c>
      <c r="AI781" s="80">
        <v>14013</v>
      </c>
      <c r="AJ781" s="80">
        <v>31</v>
      </c>
      <c r="AK781" s="80">
        <v>417</v>
      </c>
      <c r="AL781" s="80">
        <v>15</v>
      </c>
      <c r="AM781" s="80" t="s">
        <v>5614</v>
      </c>
      <c r="AN781" s="102" t="str">
        <f>HYPERLINK("https://www.youtube.com/watch?v=x94vCNcsxgs")</f>
        <v>https://www.youtube.com/watch?v=x94vCNcsxgs</v>
      </c>
      <c r="AO781" s="2"/>
      <c r="AP781" s="3"/>
      <c r="AQ781" s="3"/>
      <c r="AR781" s="3"/>
      <c r="AS781" s="3"/>
    </row>
    <row r="782" spans="1:45" ht="15">
      <c r="A782" s="66" t="s">
        <v>958</v>
      </c>
      <c r="B782" s="67"/>
      <c r="C782" s="67"/>
      <c r="D782" s="68"/>
      <c r="E782" s="70"/>
      <c r="F782" s="100" t="str">
        <f>HYPERLINK("https://i.ytimg.com/vi/d_cuFAmp5ws/default.jpg")</f>
        <v>https://i.ytimg.com/vi/d_cuFAmp5ws/default.jpg</v>
      </c>
      <c r="G782" s="67"/>
      <c r="H782" s="71"/>
      <c r="I782" s="72"/>
      <c r="J782" s="72"/>
      <c r="K782" s="71" t="s">
        <v>2012</v>
      </c>
      <c r="L782" s="75"/>
      <c r="M782" s="76">
        <v>5962.75341796875</v>
      </c>
      <c r="N782" s="76">
        <v>5785.74951171875</v>
      </c>
      <c r="O782" s="77"/>
      <c r="P782" s="78"/>
      <c r="Q782" s="78"/>
      <c r="R782" s="82"/>
      <c r="S782" s="82"/>
      <c r="T782" s="82"/>
      <c r="U782" s="82"/>
      <c r="V782" s="52"/>
      <c r="W782" s="52"/>
      <c r="X782" s="52"/>
      <c r="Y782" s="52"/>
      <c r="Z782" s="51"/>
      <c r="AA782" s="73">
        <v>782</v>
      </c>
      <c r="AB782" s="73"/>
      <c r="AC782" s="74"/>
      <c r="AD782" s="80" t="s">
        <v>2012</v>
      </c>
      <c r="AE782" s="80" t="s">
        <v>2944</v>
      </c>
      <c r="AF782" s="80" t="s">
        <v>3671</v>
      </c>
      <c r="AG782" s="80" t="s">
        <v>3884</v>
      </c>
      <c r="AH782" s="80" t="s">
        <v>5335</v>
      </c>
      <c r="AI782" s="80">
        <v>9291</v>
      </c>
      <c r="AJ782" s="80">
        <v>4</v>
      </c>
      <c r="AK782" s="80">
        <v>231</v>
      </c>
      <c r="AL782" s="80">
        <v>11</v>
      </c>
      <c r="AM782" s="80" t="s">
        <v>5614</v>
      </c>
      <c r="AN782" s="102" t="str">
        <f>HYPERLINK("https://www.youtube.com/watch?v=d_cuFAmp5ws")</f>
        <v>https://www.youtube.com/watch?v=d_cuFAmp5ws</v>
      </c>
      <c r="AO782" s="2"/>
      <c r="AP782" s="3"/>
      <c r="AQ782" s="3"/>
      <c r="AR782" s="3"/>
      <c r="AS782" s="3"/>
    </row>
    <row r="783" spans="1:45" ht="15">
      <c r="A783" s="66" t="s">
        <v>959</v>
      </c>
      <c r="B783" s="67"/>
      <c r="C783" s="67"/>
      <c r="D783" s="68"/>
      <c r="E783" s="70"/>
      <c r="F783" s="100" t="str">
        <f>HYPERLINK("https://i.ytimg.com/vi/FznsiWf3g1g/default.jpg")</f>
        <v>https://i.ytimg.com/vi/FznsiWf3g1g/default.jpg</v>
      </c>
      <c r="G783" s="67"/>
      <c r="H783" s="71"/>
      <c r="I783" s="72"/>
      <c r="J783" s="72"/>
      <c r="K783" s="71" t="s">
        <v>2013</v>
      </c>
      <c r="L783" s="75"/>
      <c r="M783" s="76">
        <v>7984.4619140625</v>
      </c>
      <c r="N783" s="76">
        <v>5755.16015625</v>
      </c>
      <c r="O783" s="77"/>
      <c r="P783" s="78"/>
      <c r="Q783" s="78"/>
      <c r="R783" s="82"/>
      <c r="S783" s="82"/>
      <c r="T783" s="82"/>
      <c r="U783" s="82"/>
      <c r="V783" s="52"/>
      <c r="W783" s="52"/>
      <c r="X783" s="52"/>
      <c r="Y783" s="52"/>
      <c r="Z783" s="51"/>
      <c r="AA783" s="73">
        <v>783</v>
      </c>
      <c r="AB783" s="73"/>
      <c r="AC783" s="74"/>
      <c r="AD783" s="80" t="s">
        <v>2013</v>
      </c>
      <c r="AE783" s="80" t="s">
        <v>2945</v>
      </c>
      <c r="AF783" s="80" t="s">
        <v>3672</v>
      </c>
      <c r="AG783" s="80" t="s">
        <v>4403</v>
      </c>
      <c r="AH783" s="80" t="s">
        <v>5336</v>
      </c>
      <c r="AI783" s="80">
        <v>783</v>
      </c>
      <c r="AJ783" s="80">
        <v>0</v>
      </c>
      <c r="AK783" s="80">
        <v>10</v>
      </c>
      <c r="AL783" s="80">
        <v>0</v>
      </c>
      <c r="AM783" s="80" t="s">
        <v>5614</v>
      </c>
      <c r="AN783" s="102" t="str">
        <f>HYPERLINK("https://www.youtube.com/watch?v=FznsiWf3g1g")</f>
        <v>https://www.youtube.com/watch?v=FznsiWf3g1g</v>
      </c>
      <c r="AO783" s="2"/>
      <c r="AP783" s="3"/>
      <c r="AQ783" s="3"/>
      <c r="AR783" s="3"/>
      <c r="AS783" s="3"/>
    </row>
    <row r="784" spans="1:45" ht="15">
      <c r="A784" s="66" t="s">
        <v>217</v>
      </c>
      <c r="B784" s="67"/>
      <c r="C784" s="67"/>
      <c r="D784" s="68"/>
      <c r="E784" s="70"/>
      <c r="F784" s="100" t="str">
        <f>HYPERLINK("https://i.ytimg.com/vi/jz9zwrDfkvw/default.jpg")</f>
        <v>https://i.ytimg.com/vi/jz9zwrDfkvw/default.jpg</v>
      </c>
      <c r="G784" s="67"/>
      <c r="H784" s="71"/>
      <c r="I784" s="72"/>
      <c r="J784" s="72"/>
      <c r="K784" s="71" t="s">
        <v>1300</v>
      </c>
      <c r="L784" s="75"/>
      <c r="M784" s="76">
        <v>5417.08740234375</v>
      </c>
      <c r="N784" s="76">
        <v>4901.89208984375</v>
      </c>
      <c r="O784" s="77"/>
      <c r="P784" s="78"/>
      <c r="Q784" s="78"/>
      <c r="R784" s="82"/>
      <c r="S784" s="82"/>
      <c r="T784" s="82"/>
      <c r="U784" s="82"/>
      <c r="V784" s="52"/>
      <c r="W784" s="52"/>
      <c r="X784" s="52"/>
      <c r="Y784" s="52"/>
      <c r="Z784" s="51"/>
      <c r="AA784" s="73">
        <v>784</v>
      </c>
      <c r="AB784" s="73"/>
      <c r="AC784" s="74"/>
      <c r="AD784" s="80" t="s">
        <v>1300</v>
      </c>
      <c r="AE784" s="80" t="s">
        <v>2946</v>
      </c>
      <c r="AF784" s="80"/>
      <c r="AG784" s="80" t="s">
        <v>4404</v>
      </c>
      <c r="AH784" s="80" t="s">
        <v>5337</v>
      </c>
      <c r="AI784" s="80">
        <v>89</v>
      </c>
      <c r="AJ784" s="80">
        <v>0</v>
      </c>
      <c r="AK784" s="80">
        <v>1</v>
      </c>
      <c r="AL784" s="80">
        <v>1</v>
      </c>
      <c r="AM784" s="80" t="s">
        <v>5614</v>
      </c>
      <c r="AN784" s="102" t="str">
        <f>HYPERLINK("https://www.youtube.com/watch?v=jz9zwrDfkvw")</f>
        <v>https://www.youtube.com/watch?v=jz9zwrDfkvw</v>
      </c>
      <c r="AO784" s="2"/>
      <c r="AP784" s="3"/>
      <c r="AQ784" s="3"/>
      <c r="AR784" s="3"/>
      <c r="AS784" s="3"/>
    </row>
    <row r="785" spans="1:45" ht="15">
      <c r="A785" s="66" t="s">
        <v>960</v>
      </c>
      <c r="B785" s="67"/>
      <c r="C785" s="67"/>
      <c r="D785" s="68"/>
      <c r="E785" s="70"/>
      <c r="F785" s="100" t="str">
        <f>HYPERLINK("https://i.ytimg.com/vi/Yx3-Tf8DXtw/default.jpg")</f>
        <v>https://i.ytimg.com/vi/Yx3-Tf8DXtw/default.jpg</v>
      </c>
      <c r="G785" s="67"/>
      <c r="H785" s="71"/>
      <c r="I785" s="72"/>
      <c r="J785" s="72"/>
      <c r="K785" s="71" t="s">
        <v>2014</v>
      </c>
      <c r="L785" s="75"/>
      <c r="M785" s="76">
        <v>4570.830078125</v>
      </c>
      <c r="N785" s="76">
        <v>7467.88330078125</v>
      </c>
      <c r="O785" s="77"/>
      <c r="P785" s="78"/>
      <c r="Q785" s="78"/>
      <c r="R785" s="82"/>
      <c r="S785" s="82"/>
      <c r="T785" s="82"/>
      <c r="U785" s="82"/>
      <c r="V785" s="52"/>
      <c r="W785" s="52"/>
      <c r="X785" s="52"/>
      <c r="Y785" s="52"/>
      <c r="Z785" s="51"/>
      <c r="AA785" s="73">
        <v>785</v>
      </c>
      <c r="AB785" s="73"/>
      <c r="AC785" s="74"/>
      <c r="AD785" s="80" t="s">
        <v>2014</v>
      </c>
      <c r="AE785" s="80"/>
      <c r="AF785" s="80" t="s">
        <v>3673</v>
      </c>
      <c r="AG785" s="80" t="s">
        <v>4404</v>
      </c>
      <c r="AH785" s="80" t="s">
        <v>5338</v>
      </c>
      <c r="AI785" s="80">
        <v>2143</v>
      </c>
      <c r="AJ785" s="80">
        <v>0</v>
      </c>
      <c r="AK785" s="80">
        <v>35</v>
      </c>
      <c r="AL785" s="80">
        <v>10</v>
      </c>
      <c r="AM785" s="80" t="s">
        <v>5614</v>
      </c>
      <c r="AN785" s="102" t="str">
        <f>HYPERLINK("https://www.youtube.com/watch?v=Yx3-Tf8DXtw")</f>
        <v>https://www.youtube.com/watch?v=Yx3-Tf8DXtw</v>
      </c>
      <c r="AO785" s="2"/>
      <c r="AP785" s="3"/>
      <c r="AQ785" s="3"/>
      <c r="AR785" s="3"/>
      <c r="AS785" s="3"/>
    </row>
    <row r="786" spans="1:45" ht="15">
      <c r="A786" s="66" t="s">
        <v>961</v>
      </c>
      <c r="B786" s="67"/>
      <c r="C786" s="67"/>
      <c r="D786" s="68"/>
      <c r="E786" s="70"/>
      <c r="F786" s="100" t="str">
        <f>HYPERLINK("https://i.ytimg.com/vi/42LmWaCy7fY/default.jpg")</f>
        <v>https://i.ytimg.com/vi/42LmWaCy7fY/default.jpg</v>
      </c>
      <c r="G786" s="67"/>
      <c r="H786" s="71"/>
      <c r="I786" s="72"/>
      <c r="J786" s="72"/>
      <c r="K786" s="71" t="s">
        <v>2015</v>
      </c>
      <c r="L786" s="75"/>
      <c r="M786" s="76">
        <v>3626.69287109375</v>
      </c>
      <c r="N786" s="76">
        <v>7143.748046875</v>
      </c>
      <c r="O786" s="77"/>
      <c r="P786" s="78"/>
      <c r="Q786" s="78"/>
      <c r="R786" s="82"/>
      <c r="S786" s="82"/>
      <c r="T786" s="82"/>
      <c r="U786" s="82"/>
      <c r="V786" s="52"/>
      <c r="W786" s="52"/>
      <c r="X786" s="52"/>
      <c r="Y786" s="52"/>
      <c r="Z786" s="51"/>
      <c r="AA786" s="73">
        <v>786</v>
      </c>
      <c r="AB786" s="73"/>
      <c r="AC786" s="74"/>
      <c r="AD786" s="80" t="s">
        <v>2015</v>
      </c>
      <c r="AE786" s="80"/>
      <c r="AF786" s="80" t="s">
        <v>3674</v>
      </c>
      <c r="AG786" s="80" t="s">
        <v>4404</v>
      </c>
      <c r="AH786" s="80" t="s">
        <v>5339</v>
      </c>
      <c r="AI786" s="80">
        <v>29481</v>
      </c>
      <c r="AJ786" s="80">
        <v>0</v>
      </c>
      <c r="AK786" s="80">
        <v>377</v>
      </c>
      <c r="AL786" s="80">
        <v>91</v>
      </c>
      <c r="AM786" s="80" t="s">
        <v>5614</v>
      </c>
      <c r="AN786" s="102" t="str">
        <f>HYPERLINK("https://www.youtube.com/watch?v=42LmWaCy7fY")</f>
        <v>https://www.youtube.com/watch?v=42LmWaCy7fY</v>
      </c>
      <c r="AO786" s="2"/>
      <c r="AP786" s="3"/>
      <c r="AQ786" s="3"/>
      <c r="AR786" s="3"/>
      <c r="AS786" s="3"/>
    </row>
    <row r="787" spans="1:45" ht="15">
      <c r="A787" s="66" t="s">
        <v>962</v>
      </c>
      <c r="B787" s="67"/>
      <c r="C787" s="67"/>
      <c r="D787" s="68"/>
      <c r="E787" s="70"/>
      <c r="F787" s="100" t="str">
        <f>HYPERLINK("https://i.ytimg.com/vi/gtFT7kP3DrQ/default.jpg")</f>
        <v>https://i.ytimg.com/vi/gtFT7kP3DrQ/default.jpg</v>
      </c>
      <c r="G787" s="67"/>
      <c r="H787" s="71"/>
      <c r="I787" s="72"/>
      <c r="J787" s="72"/>
      <c r="K787" s="71" t="s">
        <v>2016</v>
      </c>
      <c r="L787" s="75"/>
      <c r="M787" s="76">
        <v>4764.03173828125</v>
      </c>
      <c r="N787" s="76">
        <v>7513.58740234375</v>
      </c>
      <c r="O787" s="77"/>
      <c r="P787" s="78"/>
      <c r="Q787" s="78"/>
      <c r="R787" s="82"/>
      <c r="S787" s="82"/>
      <c r="T787" s="82"/>
      <c r="U787" s="82"/>
      <c r="V787" s="52"/>
      <c r="W787" s="52"/>
      <c r="X787" s="52"/>
      <c r="Y787" s="52"/>
      <c r="Z787" s="51"/>
      <c r="AA787" s="73">
        <v>787</v>
      </c>
      <c r="AB787" s="73"/>
      <c r="AC787" s="74"/>
      <c r="AD787" s="80" t="s">
        <v>2016</v>
      </c>
      <c r="AE787" s="80"/>
      <c r="AF787" s="80" t="s">
        <v>3675</v>
      </c>
      <c r="AG787" s="80" t="s">
        <v>4404</v>
      </c>
      <c r="AH787" s="80" t="s">
        <v>5340</v>
      </c>
      <c r="AI787" s="80">
        <v>23168</v>
      </c>
      <c r="AJ787" s="80">
        <v>0</v>
      </c>
      <c r="AK787" s="80">
        <v>218</v>
      </c>
      <c r="AL787" s="80">
        <v>37</v>
      </c>
      <c r="AM787" s="80" t="s">
        <v>5614</v>
      </c>
      <c r="AN787" s="102" t="str">
        <f>HYPERLINK("https://www.youtube.com/watch?v=gtFT7kP3DrQ")</f>
        <v>https://www.youtube.com/watch?v=gtFT7kP3DrQ</v>
      </c>
      <c r="AO787" s="2"/>
      <c r="AP787" s="3"/>
      <c r="AQ787" s="3"/>
      <c r="AR787" s="3"/>
      <c r="AS787" s="3"/>
    </row>
    <row r="788" spans="1:45" ht="15">
      <c r="A788" s="66" t="s">
        <v>963</v>
      </c>
      <c r="B788" s="67"/>
      <c r="C788" s="67"/>
      <c r="D788" s="68"/>
      <c r="E788" s="70"/>
      <c r="F788" s="100" t="str">
        <f>HYPERLINK("https://i.ytimg.com/vi/M8SLHUDiHGI/default.jpg")</f>
        <v>https://i.ytimg.com/vi/M8SLHUDiHGI/default.jpg</v>
      </c>
      <c r="G788" s="67"/>
      <c r="H788" s="71"/>
      <c r="I788" s="72"/>
      <c r="J788" s="72"/>
      <c r="K788" s="71" t="s">
        <v>2017</v>
      </c>
      <c r="L788" s="75"/>
      <c r="M788" s="76">
        <v>3989.927978515625</v>
      </c>
      <c r="N788" s="76">
        <v>7293.53564453125</v>
      </c>
      <c r="O788" s="77"/>
      <c r="P788" s="78"/>
      <c r="Q788" s="78"/>
      <c r="R788" s="82"/>
      <c r="S788" s="82"/>
      <c r="T788" s="82"/>
      <c r="U788" s="82"/>
      <c r="V788" s="52"/>
      <c r="W788" s="52"/>
      <c r="X788" s="52"/>
      <c r="Y788" s="52"/>
      <c r="Z788" s="51"/>
      <c r="AA788" s="73">
        <v>788</v>
      </c>
      <c r="AB788" s="73"/>
      <c r="AC788" s="74"/>
      <c r="AD788" s="80" t="s">
        <v>2017</v>
      </c>
      <c r="AE788" s="80"/>
      <c r="AF788" s="80" t="s">
        <v>3676</v>
      </c>
      <c r="AG788" s="80" t="s">
        <v>4404</v>
      </c>
      <c r="AH788" s="80" t="s">
        <v>5341</v>
      </c>
      <c r="AI788" s="80">
        <v>36652</v>
      </c>
      <c r="AJ788" s="80">
        <v>0</v>
      </c>
      <c r="AK788" s="80">
        <v>512</v>
      </c>
      <c r="AL788" s="80">
        <v>56</v>
      </c>
      <c r="AM788" s="80" t="s">
        <v>5614</v>
      </c>
      <c r="AN788" s="102" t="str">
        <f>HYPERLINK("https://www.youtube.com/watch?v=M8SLHUDiHGI")</f>
        <v>https://www.youtube.com/watch?v=M8SLHUDiHGI</v>
      </c>
      <c r="AO788" s="2"/>
      <c r="AP788" s="3"/>
      <c r="AQ788" s="3"/>
      <c r="AR788" s="3"/>
      <c r="AS788" s="3"/>
    </row>
    <row r="789" spans="1:45" ht="15">
      <c r="A789" s="66" t="s">
        <v>964</v>
      </c>
      <c r="B789" s="67"/>
      <c r="C789" s="67"/>
      <c r="D789" s="68"/>
      <c r="E789" s="70"/>
      <c r="F789" s="100" t="str">
        <f>HYPERLINK("https://i.ytimg.com/vi/S_p8hi1ZSCo/default.jpg")</f>
        <v>https://i.ytimg.com/vi/S_p8hi1ZSCo/default.jpg</v>
      </c>
      <c r="G789" s="67"/>
      <c r="H789" s="71"/>
      <c r="I789" s="72"/>
      <c r="J789" s="72"/>
      <c r="K789" s="71" t="s">
        <v>2018</v>
      </c>
      <c r="L789" s="75"/>
      <c r="M789" s="76">
        <v>4392.64892578125</v>
      </c>
      <c r="N789" s="76">
        <v>7420.42578125</v>
      </c>
      <c r="O789" s="77"/>
      <c r="P789" s="78"/>
      <c r="Q789" s="78"/>
      <c r="R789" s="82"/>
      <c r="S789" s="82"/>
      <c r="T789" s="82"/>
      <c r="U789" s="82"/>
      <c r="V789" s="52"/>
      <c r="W789" s="52"/>
      <c r="X789" s="52"/>
      <c r="Y789" s="52"/>
      <c r="Z789" s="51"/>
      <c r="AA789" s="73">
        <v>789</v>
      </c>
      <c r="AB789" s="73"/>
      <c r="AC789" s="74"/>
      <c r="AD789" s="80" t="s">
        <v>2018</v>
      </c>
      <c r="AE789" s="80"/>
      <c r="AF789" s="80"/>
      <c r="AG789" s="80" t="s">
        <v>4404</v>
      </c>
      <c r="AH789" s="80" t="s">
        <v>5342</v>
      </c>
      <c r="AI789" s="80">
        <v>241</v>
      </c>
      <c r="AJ789" s="80">
        <v>0</v>
      </c>
      <c r="AK789" s="80">
        <v>7</v>
      </c>
      <c r="AL789" s="80">
        <v>1</v>
      </c>
      <c r="AM789" s="80" t="s">
        <v>5614</v>
      </c>
      <c r="AN789" s="102" t="str">
        <f>HYPERLINK("https://www.youtube.com/watch?v=S_p8hi1ZSCo")</f>
        <v>https://www.youtube.com/watch?v=S_p8hi1ZSCo</v>
      </c>
      <c r="AO789" s="2"/>
      <c r="AP789" s="3"/>
      <c r="AQ789" s="3"/>
      <c r="AR789" s="3"/>
      <c r="AS789" s="3"/>
    </row>
    <row r="790" spans="1:45" ht="15">
      <c r="A790" s="66" t="s">
        <v>965</v>
      </c>
      <c r="B790" s="67"/>
      <c r="C790" s="67"/>
      <c r="D790" s="68"/>
      <c r="E790" s="70"/>
      <c r="F790" s="100" t="str">
        <f>HYPERLINK("https://i.ytimg.com/vi/YYrGF7vpnGA/default.jpg")</f>
        <v>https://i.ytimg.com/vi/YYrGF7vpnGA/default.jpg</v>
      </c>
      <c r="G790" s="67"/>
      <c r="H790" s="71"/>
      <c r="I790" s="72"/>
      <c r="J790" s="72"/>
      <c r="K790" s="71" t="s">
        <v>2019</v>
      </c>
      <c r="L790" s="75"/>
      <c r="M790" s="76">
        <v>3401.968994140625</v>
      </c>
      <c r="N790" s="76">
        <v>7044.27783203125</v>
      </c>
      <c r="O790" s="77"/>
      <c r="P790" s="78"/>
      <c r="Q790" s="78"/>
      <c r="R790" s="82"/>
      <c r="S790" s="82"/>
      <c r="T790" s="82"/>
      <c r="U790" s="82"/>
      <c r="V790" s="52"/>
      <c r="W790" s="52"/>
      <c r="X790" s="52"/>
      <c r="Y790" s="52"/>
      <c r="Z790" s="51"/>
      <c r="AA790" s="73">
        <v>790</v>
      </c>
      <c r="AB790" s="73"/>
      <c r="AC790" s="74"/>
      <c r="AD790" s="80" t="s">
        <v>2019</v>
      </c>
      <c r="AE790" s="80"/>
      <c r="AF790" s="80" t="s">
        <v>3677</v>
      </c>
      <c r="AG790" s="80" t="s">
        <v>4404</v>
      </c>
      <c r="AH790" s="80" t="s">
        <v>5343</v>
      </c>
      <c r="AI790" s="80">
        <v>3263</v>
      </c>
      <c r="AJ790" s="80">
        <v>0</v>
      </c>
      <c r="AK790" s="80">
        <v>51</v>
      </c>
      <c r="AL790" s="80">
        <v>9</v>
      </c>
      <c r="AM790" s="80" t="s">
        <v>5614</v>
      </c>
      <c r="AN790" s="102" t="str">
        <f>HYPERLINK("https://www.youtube.com/watch?v=YYrGF7vpnGA")</f>
        <v>https://www.youtube.com/watch?v=YYrGF7vpnGA</v>
      </c>
      <c r="AO790" s="2"/>
      <c r="AP790" s="3"/>
      <c r="AQ790" s="3"/>
      <c r="AR790" s="3"/>
      <c r="AS790" s="3"/>
    </row>
    <row r="791" spans="1:45" ht="15">
      <c r="A791" s="66" t="s">
        <v>966</v>
      </c>
      <c r="B791" s="67"/>
      <c r="C791" s="67"/>
      <c r="D791" s="68"/>
      <c r="E791" s="70"/>
      <c r="F791" s="100" t="str">
        <f>HYPERLINK("https://i.ytimg.com/vi/PAMr42W7JdI/default.jpg")</f>
        <v>https://i.ytimg.com/vi/PAMr42W7JdI/default.jpg</v>
      </c>
      <c r="G791" s="67"/>
      <c r="H791" s="71"/>
      <c r="I791" s="72"/>
      <c r="J791" s="72"/>
      <c r="K791" s="71" t="s">
        <v>2020</v>
      </c>
      <c r="L791" s="75"/>
      <c r="M791" s="76">
        <v>4087.92431640625</v>
      </c>
      <c r="N791" s="76">
        <v>7320.96337890625</v>
      </c>
      <c r="O791" s="77"/>
      <c r="P791" s="78"/>
      <c r="Q791" s="78"/>
      <c r="R791" s="82"/>
      <c r="S791" s="82"/>
      <c r="T791" s="82"/>
      <c r="U791" s="82"/>
      <c r="V791" s="52"/>
      <c r="W791" s="52"/>
      <c r="X791" s="52"/>
      <c r="Y791" s="52"/>
      <c r="Z791" s="51"/>
      <c r="AA791" s="73">
        <v>791</v>
      </c>
      <c r="AB791" s="73"/>
      <c r="AC791" s="74"/>
      <c r="AD791" s="80" t="s">
        <v>2020</v>
      </c>
      <c r="AE791" s="80"/>
      <c r="AF791" s="80" t="s">
        <v>3678</v>
      </c>
      <c r="AG791" s="80" t="s">
        <v>4404</v>
      </c>
      <c r="AH791" s="80" t="s">
        <v>5344</v>
      </c>
      <c r="AI791" s="80">
        <v>18772</v>
      </c>
      <c r="AJ791" s="80">
        <v>0</v>
      </c>
      <c r="AK791" s="80">
        <v>187</v>
      </c>
      <c r="AL791" s="80">
        <v>35</v>
      </c>
      <c r="AM791" s="80" t="s">
        <v>5614</v>
      </c>
      <c r="AN791" s="102" t="str">
        <f>HYPERLINK("https://www.youtube.com/watch?v=PAMr42W7JdI")</f>
        <v>https://www.youtube.com/watch?v=PAMr42W7JdI</v>
      </c>
      <c r="AO791" s="2"/>
      <c r="AP791" s="3"/>
      <c r="AQ791" s="3"/>
      <c r="AR791" s="3"/>
      <c r="AS791" s="3"/>
    </row>
    <row r="792" spans="1:45" ht="15">
      <c r="A792" s="66" t="s">
        <v>967</v>
      </c>
      <c r="B792" s="67"/>
      <c r="C792" s="67"/>
      <c r="D792" s="68"/>
      <c r="E792" s="70"/>
      <c r="F792" s="100" t="str">
        <f>HYPERLINK("https://i.ytimg.com/vi/r7_-r8NXZyM/default.jpg")</f>
        <v>https://i.ytimg.com/vi/r7_-r8NXZyM/default.jpg</v>
      </c>
      <c r="G792" s="67"/>
      <c r="H792" s="71"/>
      <c r="I792" s="72"/>
      <c r="J792" s="72"/>
      <c r="K792" s="71" t="s">
        <v>2021</v>
      </c>
      <c r="L792" s="75"/>
      <c r="M792" s="76">
        <v>4767.62109375</v>
      </c>
      <c r="N792" s="76">
        <v>7519.8466796875</v>
      </c>
      <c r="O792" s="77"/>
      <c r="P792" s="78"/>
      <c r="Q792" s="78"/>
      <c r="R792" s="82"/>
      <c r="S792" s="82"/>
      <c r="T792" s="82"/>
      <c r="U792" s="82"/>
      <c r="V792" s="52"/>
      <c r="W792" s="52"/>
      <c r="X792" s="52"/>
      <c r="Y792" s="52"/>
      <c r="Z792" s="51"/>
      <c r="AA792" s="73">
        <v>792</v>
      </c>
      <c r="AB792" s="73"/>
      <c r="AC792" s="74"/>
      <c r="AD792" s="80" t="s">
        <v>2021</v>
      </c>
      <c r="AE792" s="80"/>
      <c r="AF792" s="80"/>
      <c r="AG792" s="80" t="s">
        <v>4404</v>
      </c>
      <c r="AH792" s="80" t="s">
        <v>5345</v>
      </c>
      <c r="AI792" s="80">
        <v>236</v>
      </c>
      <c r="AJ792" s="80">
        <v>0</v>
      </c>
      <c r="AK792" s="80">
        <v>6</v>
      </c>
      <c r="AL792" s="80">
        <v>0</v>
      </c>
      <c r="AM792" s="80" t="s">
        <v>5614</v>
      </c>
      <c r="AN792" s="102" t="str">
        <f>HYPERLINK("https://www.youtube.com/watch?v=r7_-r8NXZyM")</f>
        <v>https://www.youtube.com/watch?v=r7_-r8NXZyM</v>
      </c>
      <c r="AO792" s="2"/>
      <c r="AP792" s="3"/>
      <c r="AQ792" s="3"/>
      <c r="AR792" s="3"/>
      <c r="AS792" s="3"/>
    </row>
    <row r="793" spans="1:45" ht="15">
      <c r="A793" s="66" t="s">
        <v>968</v>
      </c>
      <c r="B793" s="67"/>
      <c r="C793" s="67"/>
      <c r="D793" s="68"/>
      <c r="E793" s="70"/>
      <c r="F793" s="100" t="str">
        <f>HYPERLINK("https://i.ytimg.com/vi/KQwLeVWdIFk/default.jpg")</f>
        <v>https://i.ytimg.com/vi/KQwLeVWdIFk/default.jpg</v>
      </c>
      <c r="G793" s="67"/>
      <c r="H793" s="71"/>
      <c r="I793" s="72"/>
      <c r="J793" s="72"/>
      <c r="K793" s="71" t="s">
        <v>2022</v>
      </c>
      <c r="L793" s="75"/>
      <c r="M793" s="76">
        <v>4069.421875</v>
      </c>
      <c r="N793" s="76">
        <v>4971.57080078125</v>
      </c>
      <c r="O793" s="77"/>
      <c r="P793" s="78"/>
      <c r="Q793" s="78"/>
      <c r="R793" s="82"/>
      <c r="S793" s="82"/>
      <c r="T793" s="82"/>
      <c r="U793" s="82"/>
      <c r="V793" s="52"/>
      <c r="W793" s="52"/>
      <c r="X793" s="52"/>
      <c r="Y793" s="52"/>
      <c r="Z793" s="51"/>
      <c r="AA793" s="73">
        <v>793</v>
      </c>
      <c r="AB793" s="73"/>
      <c r="AC793" s="74"/>
      <c r="AD793" s="80" t="s">
        <v>2022</v>
      </c>
      <c r="AE793" s="80" t="s">
        <v>2947</v>
      </c>
      <c r="AF793" s="80"/>
      <c r="AG793" s="80" t="s">
        <v>4405</v>
      </c>
      <c r="AH793" s="80" t="s">
        <v>5346</v>
      </c>
      <c r="AI793" s="80">
        <v>3918</v>
      </c>
      <c r="AJ793" s="80">
        <v>8</v>
      </c>
      <c r="AK793" s="80">
        <v>22</v>
      </c>
      <c r="AL793" s="80">
        <v>0</v>
      </c>
      <c r="AM793" s="80" t="s">
        <v>5614</v>
      </c>
      <c r="AN793" s="102" t="str">
        <f>HYPERLINK("https://www.youtube.com/watch?v=KQwLeVWdIFk")</f>
        <v>https://www.youtube.com/watch?v=KQwLeVWdIFk</v>
      </c>
      <c r="AO793" s="2"/>
      <c r="AP793" s="3"/>
      <c r="AQ793" s="3"/>
      <c r="AR793" s="3"/>
      <c r="AS793" s="3"/>
    </row>
    <row r="794" spans="1:45" ht="15">
      <c r="A794" s="66" t="s">
        <v>969</v>
      </c>
      <c r="B794" s="67"/>
      <c r="C794" s="67"/>
      <c r="D794" s="68"/>
      <c r="E794" s="70"/>
      <c r="F794" s="100" t="str">
        <f>HYPERLINK("https://i.ytimg.com/vi/-KALxBabMbk/default.jpg")</f>
        <v>https://i.ytimg.com/vi/-KALxBabMbk/default.jpg</v>
      </c>
      <c r="G794" s="67"/>
      <c r="H794" s="71"/>
      <c r="I794" s="72"/>
      <c r="J794" s="72"/>
      <c r="K794" s="71" t="s">
        <v>2023</v>
      </c>
      <c r="L794" s="75"/>
      <c r="M794" s="76">
        <v>4436.21044921875</v>
      </c>
      <c r="N794" s="76">
        <v>3655.31005859375</v>
      </c>
      <c r="O794" s="77"/>
      <c r="P794" s="78"/>
      <c r="Q794" s="78"/>
      <c r="R794" s="82"/>
      <c r="S794" s="82"/>
      <c r="T794" s="82"/>
      <c r="U794" s="82"/>
      <c r="V794" s="52"/>
      <c r="W794" s="52"/>
      <c r="X794" s="52"/>
      <c r="Y794" s="52"/>
      <c r="Z794" s="51"/>
      <c r="AA794" s="73">
        <v>794</v>
      </c>
      <c r="AB794" s="73"/>
      <c r="AC794" s="74"/>
      <c r="AD794" s="80" t="s">
        <v>2023</v>
      </c>
      <c r="AE794" s="80" t="s">
        <v>2948</v>
      </c>
      <c r="AF794" s="80" t="s">
        <v>3679</v>
      </c>
      <c r="AG794" s="80" t="s">
        <v>4406</v>
      </c>
      <c r="AH794" s="80" t="s">
        <v>5347</v>
      </c>
      <c r="AI794" s="80">
        <v>227966</v>
      </c>
      <c r="AJ794" s="80">
        <v>61</v>
      </c>
      <c r="AK794" s="80">
        <v>695</v>
      </c>
      <c r="AL794" s="80">
        <v>53</v>
      </c>
      <c r="AM794" s="80" t="s">
        <v>5614</v>
      </c>
      <c r="AN794" s="102" t="str">
        <f>HYPERLINK("https://www.youtube.com/watch?v=-KALxBabMbk")</f>
        <v>https://www.youtube.com/watch?v=-KALxBabMbk</v>
      </c>
      <c r="AO794" s="2"/>
      <c r="AP794" s="3"/>
      <c r="AQ794" s="3"/>
      <c r="AR794" s="3"/>
      <c r="AS794" s="3"/>
    </row>
    <row r="795" spans="1:45" ht="15">
      <c r="A795" s="66" t="s">
        <v>970</v>
      </c>
      <c r="B795" s="67"/>
      <c r="C795" s="67"/>
      <c r="D795" s="68"/>
      <c r="E795" s="70"/>
      <c r="F795" s="100" t="str">
        <f>HYPERLINK("https://i.ytimg.com/vi/S_CIpntTllw/default.jpg")</f>
        <v>https://i.ytimg.com/vi/S_CIpntTllw/default.jpg</v>
      </c>
      <c r="G795" s="67"/>
      <c r="H795" s="71"/>
      <c r="I795" s="72"/>
      <c r="J795" s="72"/>
      <c r="K795" s="71" t="s">
        <v>2024</v>
      </c>
      <c r="L795" s="75"/>
      <c r="M795" s="76">
        <v>5233.48486328125</v>
      </c>
      <c r="N795" s="76">
        <v>3826.70556640625</v>
      </c>
      <c r="O795" s="77"/>
      <c r="P795" s="78"/>
      <c r="Q795" s="78"/>
      <c r="R795" s="82"/>
      <c r="S795" s="82"/>
      <c r="T795" s="82"/>
      <c r="U795" s="82"/>
      <c r="V795" s="52"/>
      <c r="W795" s="52"/>
      <c r="X795" s="52"/>
      <c r="Y795" s="52"/>
      <c r="Z795" s="51"/>
      <c r="AA795" s="73">
        <v>795</v>
      </c>
      <c r="AB795" s="73"/>
      <c r="AC795" s="74"/>
      <c r="AD795" s="80" t="s">
        <v>2024</v>
      </c>
      <c r="AE795" s="80" t="s">
        <v>2949</v>
      </c>
      <c r="AF795" s="80" t="s">
        <v>3680</v>
      </c>
      <c r="AG795" s="80" t="s">
        <v>4407</v>
      </c>
      <c r="AH795" s="80" t="s">
        <v>5348</v>
      </c>
      <c r="AI795" s="80">
        <v>172139</v>
      </c>
      <c r="AJ795" s="80">
        <v>83</v>
      </c>
      <c r="AK795" s="80">
        <v>6041</v>
      </c>
      <c r="AL795" s="80">
        <v>107</v>
      </c>
      <c r="AM795" s="80" t="s">
        <v>5614</v>
      </c>
      <c r="AN795" s="102" t="str">
        <f>HYPERLINK("https://www.youtube.com/watch?v=S_CIpntTllw")</f>
        <v>https://www.youtube.com/watch?v=S_CIpntTllw</v>
      </c>
      <c r="AO795" s="2"/>
      <c r="AP795" s="3"/>
      <c r="AQ795" s="3"/>
      <c r="AR795" s="3"/>
      <c r="AS795" s="3"/>
    </row>
    <row r="796" spans="1:45" ht="15">
      <c r="A796" s="66" t="s">
        <v>971</v>
      </c>
      <c r="B796" s="67"/>
      <c r="C796" s="67"/>
      <c r="D796" s="68"/>
      <c r="E796" s="70"/>
      <c r="F796" s="100" t="str">
        <f>HYPERLINK("https://i.ytimg.com/vi/_kPXKZaYW2w/default.jpg")</f>
        <v>https://i.ytimg.com/vi/_kPXKZaYW2w/default.jpg</v>
      </c>
      <c r="G796" s="67"/>
      <c r="H796" s="71"/>
      <c r="I796" s="72"/>
      <c r="J796" s="72"/>
      <c r="K796" s="71" t="s">
        <v>2025</v>
      </c>
      <c r="L796" s="75"/>
      <c r="M796" s="76">
        <v>5554.3662109375</v>
      </c>
      <c r="N796" s="76">
        <v>3964.712890625</v>
      </c>
      <c r="O796" s="77"/>
      <c r="P796" s="78"/>
      <c r="Q796" s="78"/>
      <c r="R796" s="82"/>
      <c r="S796" s="82"/>
      <c r="T796" s="82"/>
      <c r="U796" s="82"/>
      <c r="V796" s="52"/>
      <c r="W796" s="52"/>
      <c r="X796" s="52"/>
      <c r="Y796" s="52"/>
      <c r="Z796" s="51"/>
      <c r="AA796" s="73">
        <v>796</v>
      </c>
      <c r="AB796" s="73"/>
      <c r="AC796" s="74"/>
      <c r="AD796" s="80" t="s">
        <v>2025</v>
      </c>
      <c r="AE796" s="80" t="s">
        <v>2950</v>
      </c>
      <c r="AF796" s="80" t="s">
        <v>3681</v>
      </c>
      <c r="AG796" s="80" t="s">
        <v>4408</v>
      </c>
      <c r="AH796" s="80" t="s">
        <v>5349</v>
      </c>
      <c r="AI796" s="80">
        <v>4785</v>
      </c>
      <c r="AJ796" s="80">
        <v>0</v>
      </c>
      <c r="AK796" s="80">
        <v>61</v>
      </c>
      <c r="AL796" s="80">
        <v>4</v>
      </c>
      <c r="AM796" s="80" t="s">
        <v>5614</v>
      </c>
      <c r="AN796" s="102" t="str">
        <f>HYPERLINK("https://www.youtube.com/watch?v=_kPXKZaYW2w")</f>
        <v>https://www.youtube.com/watch?v=_kPXKZaYW2w</v>
      </c>
      <c r="AO796" s="2"/>
      <c r="AP796" s="3"/>
      <c r="AQ796" s="3"/>
      <c r="AR796" s="3"/>
      <c r="AS796" s="3"/>
    </row>
    <row r="797" spans="1:45" ht="15">
      <c r="A797" s="66" t="s">
        <v>972</v>
      </c>
      <c r="B797" s="67"/>
      <c r="C797" s="67"/>
      <c r="D797" s="68"/>
      <c r="E797" s="70"/>
      <c r="F797" s="100" t="str">
        <f>HYPERLINK("https://i.ytimg.com/vi/MUlTEYg82JU/default.jpg")</f>
        <v>https://i.ytimg.com/vi/MUlTEYg82JU/default.jpg</v>
      </c>
      <c r="G797" s="67"/>
      <c r="H797" s="71"/>
      <c r="I797" s="72"/>
      <c r="J797" s="72"/>
      <c r="K797" s="71" t="s">
        <v>2026</v>
      </c>
      <c r="L797" s="75"/>
      <c r="M797" s="76">
        <v>5325.228515625</v>
      </c>
      <c r="N797" s="76">
        <v>2883.1201171875</v>
      </c>
      <c r="O797" s="77"/>
      <c r="P797" s="78"/>
      <c r="Q797" s="78"/>
      <c r="R797" s="82"/>
      <c r="S797" s="82"/>
      <c r="T797" s="82"/>
      <c r="U797" s="82"/>
      <c r="V797" s="52"/>
      <c r="W797" s="52"/>
      <c r="X797" s="52"/>
      <c r="Y797" s="52"/>
      <c r="Z797" s="51"/>
      <c r="AA797" s="73">
        <v>797</v>
      </c>
      <c r="AB797" s="73"/>
      <c r="AC797" s="74"/>
      <c r="AD797" s="80" t="s">
        <v>2026</v>
      </c>
      <c r="AE797" s="80" t="s">
        <v>2951</v>
      </c>
      <c r="AF797" s="80" t="s">
        <v>3682</v>
      </c>
      <c r="AG797" s="80" t="s">
        <v>4409</v>
      </c>
      <c r="AH797" s="80" t="s">
        <v>5350</v>
      </c>
      <c r="AI797" s="80">
        <v>22944</v>
      </c>
      <c r="AJ797" s="80">
        <v>0</v>
      </c>
      <c r="AK797" s="80">
        <v>0</v>
      </c>
      <c r="AL797" s="80">
        <v>0</v>
      </c>
      <c r="AM797" s="80" t="s">
        <v>5614</v>
      </c>
      <c r="AN797" s="102" t="str">
        <f>HYPERLINK("https://www.youtube.com/watch?v=MUlTEYg82JU")</f>
        <v>https://www.youtube.com/watch?v=MUlTEYg82JU</v>
      </c>
      <c r="AO797" s="2"/>
      <c r="AP797" s="3"/>
      <c r="AQ797" s="3"/>
      <c r="AR797" s="3"/>
      <c r="AS797" s="3"/>
    </row>
    <row r="798" spans="1:45" ht="15">
      <c r="A798" s="66" t="s">
        <v>973</v>
      </c>
      <c r="B798" s="67"/>
      <c r="C798" s="67"/>
      <c r="D798" s="68"/>
      <c r="E798" s="70"/>
      <c r="F798" s="100" t="str">
        <f>HYPERLINK("https://i.ytimg.com/vi/qVhq_Laz7fI/default.jpg")</f>
        <v>https://i.ytimg.com/vi/qVhq_Laz7fI/default.jpg</v>
      </c>
      <c r="G798" s="67"/>
      <c r="H798" s="71"/>
      <c r="I798" s="72"/>
      <c r="J798" s="72"/>
      <c r="K798" s="71" t="s">
        <v>2027</v>
      </c>
      <c r="L798" s="75"/>
      <c r="M798" s="76">
        <v>4136.7568359375</v>
      </c>
      <c r="N798" s="76">
        <v>7359.4423828125</v>
      </c>
      <c r="O798" s="77"/>
      <c r="P798" s="78"/>
      <c r="Q798" s="78"/>
      <c r="R798" s="82"/>
      <c r="S798" s="82"/>
      <c r="T798" s="82"/>
      <c r="U798" s="82"/>
      <c r="V798" s="52"/>
      <c r="W798" s="52"/>
      <c r="X798" s="52"/>
      <c r="Y798" s="52"/>
      <c r="Z798" s="51"/>
      <c r="AA798" s="73">
        <v>798</v>
      </c>
      <c r="AB798" s="73"/>
      <c r="AC798" s="74"/>
      <c r="AD798" s="80" t="s">
        <v>2027</v>
      </c>
      <c r="AE798" s="80"/>
      <c r="AF798" s="80"/>
      <c r="AG798" s="80" t="s">
        <v>4404</v>
      </c>
      <c r="AH798" s="80" t="s">
        <v>5351</v>
      </c>
      <c r="AI798" s="80">
        <v>3398</v>
      </c>
      <c r="AJ798" s="80">
        <v>0</v>
      </c>
      <c r="AK798" s="80">
        <v>25</v>
      </c>
      <c r="AL798" s="80">
        <v>5</v>
      </c>
      <c r="AM798" s="80" t="s">
        <v>5614</v>
      </c>
      <c r="AN798" s="102" t="str">
        <f>HYPERLINK("https://www.youtube.com/watch?v=qVhq_Laz7fI")</f>
        <v>https://www.youtube.com/watch?v=qVhq_Laz7fI</v>
      </c>
      <c r="AO798" s="2"/>
      <c r="AP798" s="3"/>
      <c r="AQ798" s="3"/>
      <c r="AR798" s="3"/>
      <c r="AS798" s="3"/>
    </row>
    <row r="799" spans="1:45" ht="15">
      <c r="A799" s="66" t="s">
        <v>974</v>
      </c>
      <c r="B799" s="67"/>
      <c r="C799" s="67"/>
      <c r="D799" s="68"/>
      <c r="E799" s="70"/>
      <c r="F799" s="100" t="str">
        <f>HYPERLINK("https://i.ytimg.com/vi/KTrgKMqYA90/default.jpg")</f>
        <v>https://i.ytimg.com/vi/KTrgKMqYA90/default.jpg</v>
      </c>
      <c r="G799" s="67"/>
      <c r="H799" s="71"/>
      <c r="I799" s="72"/>
      <c r="J799" s="72"/>
      <c r="K799" s="71" t="s">
        <v>2028</v>
      </c>
      <c r="L799" s="75"/>
      <c r="M799" s="76">
        <v>3835.01220703125</v>
      </c>
      <c r="N799" s="76">
        <v>7234.92236328125</v>
      </c>
      <c r="O799" s="77"/>
      <c r="P799" s="78"/>
      <c r="Q799" s="78"/>
      <c r="R799" s="82"/>
      <c r="S799" s="82"/>
      <c r="T799" s="82"/>
      <c r="U799" s="82"/>
      <c r="V799" s="52"/>
      <c r="W799" s="52"/>
      <c r="X799" s="52"/>
      <c r="Y799" s="52"/>
      <c r="Z799" s="51"/>
      <c r="AA799" s="73">
        <v>799</v>
      </c>
      <c r="AB799" s="73"/>
      <c r="AC799" s="74"/>
      <c r="AD799" s="80" t="s">
        <v>2028</v>
      </c>
      <c r="AE799" s="80"/>
      <c r="AF799" s="80"/>
      <c r="AG799" s="80" t="s">
        <v>4404</v>
      </c>
      <c r="AH799" s="80" t="s">
        <v>5352</v>
      </c>
      <c r="AI799" s="80">
        <v>60</v>
      </c>
      <c r="AJ799" s="80">
        <v>0</v>
      </c>
      <c r="AK799" s="80">
        <v>1</v>
      </c>
      <c r="AL799" s="80">
        <v>0</v>
      </c>
      <c r="AM799" s="80" t="s">
        <v>5614</v>
      </c>
      <c r="AN799" s="102" t="str">
        <f>HYPERLINK("https://www.youtube.com/watch?v=KTrgKMqYA90")</f>
        <v>https://www.youtube.com/watch?v=KTrgKMqYA90</v>
      </c>
      <c r="AO799" s="2"/>
      <c r="AP799" s="3"/>
      <c r="AQ799" s="3"/>
      <c r="AR799" s="3"/>
      <c r="AS799" s="3"/>
    </row>
    <row r="800" spans="1:45" ht="15">
      <c r="A800" s="66" t="s">
        <v>975</v>
      </c>
      <c r="B800" s="67"/>
      <c r="C800" s="67"/>
      <c r="D800" s="68"/>
      <c r="E800" s="70"/>
      <c r="F800" s="100" t="str">
        <f>HYPERLINK("https://i.ytimg.com/vi/P7Tps1Cpc5I/default.jpg")</f>
        <v>https://i.ytimg.com/vi/P7Tps1Cpc5I/default.jpg</v>
      </c>
      <c r="G800" s="67"/>
      <c r="H800" s="71"/>
      <c r="I800" s="72"/>
      <c r="J800" s="72"/>
      <c r="K800" s="71" t="s">
        <v>2029</v>
      </c>
      <c r="L800" s="75"/>
      <c r="M800" s="76">
        <v>4096.6611328125</v>
      </c>
      <c r="N800" s="76">
        <v>5359.20263671875</v>
      </c>
      <c r="O800" s="77"/>
      <c r="P800" s="78"/>
      <c r="Q800" s="78"/>
      <c r="R800" s="82"/>
      <c r="S800" s="82"/>
      <c r="T800" s="82"/>
      <c r="U800" s="82"/>
      <c r="V800" s="52"/>
      <c r="W800" s="52"/>
      <c r="X800" s="52"/>
      <c r="Y800" s="52"/>
      <c r="Z800" s="51"/>
      <c r="AA800" s="73">
        <v>800</v>
      </c>
      <c r="AB800" s="73"/>
      <c r="AC800" s="74"/>
      <c r="AD800" s="80" t="s">
        <v>2029</v>
      </c>
      <c r="AE800" s="80" t="s">
        <v>2952</v>
      </c>
      <c r="AF800" s="80" t="s">
        <v>3683</v>
      </c>
      <c r="AG800" s="80" t="s">
        <v>4410</v>
      </c>
      <c r="AH800" s="80" t="s">
        <v>5353</v>
      </c>
      <c r="AI800" s="80">
        <v>485582</v>
      </c>
      <c r="AJ800" s="80">
        <v>127</v>
      </c>
      <c r="AK800" s="80">
        <v>6243</v>
      </c>
      <c r="AL800" s="80">
        <v>330</v>
      </c>
      <c r="AM800" s="80" t="s">
        <v>5614</v>
      </c>
      <c r="AN800" s="102" t="str">
        <f>HYPERLINK("https://www.youtube.com/watch?v=P7Tps1Cpc5I")</f>
        <v>https://www.youtube.com/watch?v=P7Tps1Cpc5I</v>
      </c>
      <c r="AO800" s="2"/>
      <c r="AP800" s="3"/>
      <c r="AQ800" s="3"/>
      <c r="AR800" s="3"/>
      <c r="AS800" s="3"/>
    </row>
    <row r="801" spans="1:45" ht="15">
      <c r="A801" s="66" t="s">
        <v>976</v>
      </c>
      <c r="B801" s="67"/>
      <c r="C801" s="67"/>
      <c r="D801" s="68"/>
      <c r="E801" s="70"/>
      <c r="F801" s="100" t="str">
        <f>HYPERLINK("https://i.ytimg.com/vi/krCWuJtgejY/default.jpg")</f>
        <v>https://i.ytimg.com/vi/krCWuJtgejY/default.jpg</v>
      </c>
      <c r="G801" s="67"/>
      <c r="H801" s="71"/>
      <c r="I801" s="72"/>
      <c r="J801" s="72"/>
      <c r="K801" s="71" t="s">
        <v>2030</v>
      </c>
      <c r="L801" s="75"/>
      <c r="M801" s="76">
        <v>4095.5146484375</v>
      </c>
      <c r="N801" s="76">
        <v>5312.1337890625</v>
      </c>
      <c r="O801" s="77"/>
      <c r="P801" s="78"/>
      <c r="Q801" s="78"/>
      <c r="R801" s="82"/>
      <c r="S801" s="82"/>
      <c r="T801" s="82"/>
      <c r="U801" s="82"/>
      <c r="V801" s="52"/>
      <c r="W801" s="52"/>
      <c r="X801" s="52"/>
      <c r="Y801" s="52"/>
      <c r="Z801" s="51"/>
      <c r="AA801" s="73">
        <v>801</v>
      </c>
      <c r="AB801" s="73"/>
      <c r="AC801" s="74"/>
      <c r="AD801" s="80" t="s">
        <v>2030</v>
      </c>
      <c r="AE801" s="80" t="s">
        <v>2953</v>
      </c>
      <c r="AF801" s="80" t="s">
        <v>3684</v>
      </c>
      <c r="AG801" s="80" t="s">
        <v>4411</v>
      </c>
      <c r="AH801" s="80" t="s">
        <v>5354</v>
      </c>
      <c r="AI801" s="80">
        <v>131249</v>
      </c>
      <c r="AJ801" s="80">
        <v>58</v>
      </c>
      <c r="AK801" s="80">
        <v>1839</v>
      </c>
      <c r="AL801" s="80">
        <v>57</v>
      </c>
      <c r="AM801" s="80" t="s">
        <v>5614</v>
      </c>
      <c r="AN801" s="102" t="str">
        <f>HYPERLINK("https://www.youtube.com/watch?v=krCWuJtgejY")</f>
        <v>https://www.youtube.com/watch?v=krCWuJtgejY</v>
      </c>
      <c r="AO801" s="2"/>
      <c r="AP801" s="3"/>
      <c r="AQ801" s="3"/>
      <c r="AR801" s="3"/>
      <c r="AS801" s="3"/>
    </row>
    <row r="802" spans="1:45" ht="15">
      <c r="A802" s="66" t="s">
        <v>977</v>
      </c>
      <c r="B802" s="67"/>
      <c r="C802" s="67"/>
      <c r="D802" s="68"/>
      <c r="E802" s="70"/>
      <c r="F802" s="100" t="str">
        <f>HYPERLINK("https://i.ytimg.com/vi/Ao9vIwDm8Ao/default.jpg")</f>
        <v>https://i.ytimg.com/vi/Ao9vIwDm8Ao/default.jpg</v>
      </c>
      <c r="G802" s="67"/>
      <c r="H802" s="71"/>
      <c r="I802" s="72"/>
      <c r="J802" s="72"/>
      <c r="K802" s="71" t="s">
        <v>2031</v>
      </c>
      <c r="L802" s="75"/>
      <c r="M802" s="76">
        <v>3960.26171875</v>
      </c>
      <c r="N802" s="76">
        <v>5130.0625</v>
      </c>
      <c r="O802" s="77"/>
      <c r="P802" s="78"/>
      <c r="Q802" s="78"/>
      <c r="R802" s="82"/>
      <c r="S802" s="82"/>
      <c r="T802" s="82"/>
      <c r="U802" s="82"/>
      <c r="V802" s="52"/>
      <c r="W802" s="52"/>
      <c r="X802" s="52"/>
      <c r="Y802" s="52"/>
      <c r="Z802" s="51"/>
      <c r="AA802" s="73">
        <v>802</v>
      </c>
      <c r="AB802" s="73"/>
      <c r="AC802" s="74"/>
      <c r="AD802" s="80" t="s">
        <v>2031</v>
      </c>
      <c r="AE802" s="80" t="s">
        <v>2954</v>
      </c>
      <c r="AF802" s="80" t="s">
        <v>3685</v>
      </c>
      <c r="AG802" s="80" t="s">
        <v>4234</v>
      </c>
      <c r="AH802" s="80" t="s">
        <v>5355</v>
      </c>
      <c r="AI802" s="80">
        <v>4013260</v>
      </c>
      <c r="AJ802" s="80">
        <v>1255</v>
      </c>
      <c r="AK802" s="80">
        <v>40465</v>
      </c>
      <c r="AL802" s="80">
        <v>1615</v>
      </c>
      <c r="AM802" s="80" t="s">
        <v>5614</v>
      </c>
      <c r="AN802" s="102" t="str">
        <f>HYPERLINK("https://www.youtube.com/watch?v=Ao9vIwDm8Ao")</f>
        <v>https://www.youtube.com/watch?v=Ao9vIwDm8Ao</v>
      </c>
      <c r="AO802" s="2"/>
      <c r="AP802" s="3"/>
      <c r="AQ802" s="3"/>
      <c r="AR802" s="3"/>
      <c r="AS802" s="3"/>
    </row>
    <row r="803" spans="1:45" ht="15">
      <c r="A803" s="66" t="s">
        <v>978</v>
      </c>
      <c r="B803" s="67"/>
      <c r="C803" s="67"/>
      <c r="D803" s="68"/>
      <c r="E803" s="70"/>
      <c r="F803" s="100" t="str">
        <f>HYPERLINK("https://i.ytimg.com/vi/czhc8i0obDI/default.jpg")</f>
        <v>https://i.ytimg.com/vi/czhc8i0obDI/default.jpg</v>
      </c>
      <c r="G803" s="67"/>
      <c r="H803" s="71"/>
      <c r="I803" s="72"/>
      <c r="J803" s="72"/>
      <c r="K803" s="71" t="s">
        <v>2032</v>
      </c>
      <c r="L803" s="75"/>
      <c r="M803" s="76">
        <v>4241.59912109375</v>
      </c>
      <c r="N803" s="76">
        <v>5467.42333984375</v>
      </c>
      <c r="O803" s="77"/>
      <c r="P803" s="78"/>
      <c r="Q803" s="78"/>
      <c r="R803" s="82"/>
      <c r="S803" s="82"/>
      <c r="T803" s="82"/>
      <c r="U803" s="82"/>
      <c r="V803" s="52"/>
      <c r="W803" s="52"/>
      <c r="X803" s="52"/>
      <c r="Y803" s="52"/>
      <c r="Z803" s="51"/>
      <c r="AA803" s="73">
        <v>803</v>
      </c>
      <c r="AB803" s="73"/>
      <c r="AC803" s="74"/>
      <c r="AD803" s="80" t="s">
        <v>2032</v>
      </c>
      <c r="AE803" s="80" t="s">
        <v>2955</v>
      </c>
      <c r="AF803" s="80" t="s">
        <v>3686</v>
      </c>
      <c r="AG803" s="80" t="s">
        <v>4412</v>
      </c>
      <c r="AH803" s="80" t="s">
        <v>5356</v>
      </c>
      <c r="AI803" s="80">
        <v>2195030</v>
      </c>
      <c r="AJ803" s="80">
        <v>1273</v>
      </c>
      <c r="AK803" s="80">
        <v>92922</v>
      </c>
      <c r="AL803" s="80">
        <v>1979</v>
      </c>
      <c r="AM803" s="80" t="s">
        <v>5614</v>
      </c>
      <c r="AN803" s="102" t="str">
        <f>HYPERLINK("https://www.youtube.com/watch?v=czhc8i0obDI")</f>
        <v>https://www.youtube.com/watch?v=czhc8i0obDI</v>
      </c>
      <c r="AO803" s="2"/>
      <c r="AP803" s="3"/>
      <c r="AQ803" s="3"/>
      <c r="AR803" s="3"/>
      <c r="AS803" s="3"/>
    </row>
    <row r="804" spans="1:45" ht="15">
      <c r="A804" s="66" t="s">
        <v>979</v>
      </c>
      <c r="B804" s="67"/>
      <c r="C804" s="67"/>
      <c r="D804" s="68"/>
      <c r="E804" s="70"/>
      <c r="F804" s="100" t="str">
        <f>HYPERLINK("https://i.ytimg.com/vi/_Ct0uA9miqI/default.jpg")</f>
        <v>https://i.ytimg.com/vi/_Ct0uA9miqI/default.jpg</v>
      </c>
      <c r="G804" s="67"/>
      <c r="H804" s="71"/>
      <c r="I804" s="72"/>
      <c r="J804" s="72"/>
      <c r="K804" s="71" t="s">
        <v>2033</v>
      </c>
      <c r="L804" s="75"/>
      <c r="M804" s="76">
        <v>3874.30029296875</v>
      </c>
      <c r="N804" s="76">
        <v>5069.14306640625</v>
      </c>
      <c r="O804" s="77"/>
      <c r="P804" s="78"/>
      <c r="Q804" s="78"/>
      <c r="R804" s="82"/>
      <c r="S804" s="82"/>
      <c r="T804" s="82"/>
      <c r="U804" s="82"/>
      <c r="V804" s="52"/>
      <c r="W804" s="52"/>
      <c r="X804" s="52"/>
      <c r="Y804" s="52"/>
      <c r="Z804" s="51"/>
      <c r="AA804" s="73">
        <v>804</v>
      </c>
      <c r="AB804" s="73"/>
      <c r="AC804" s="74"/>
      <c r="AD804" s="80" t="s">
        <v>2033</v>
      </c>
      <c r="AE804" s="80" t="s">
        <v>2956</v>
      </c>
      <c r="AF804" s="80" t="s">
        <v>3687</v>
      </c>
      <c r="AG804" s="80" t="s">
        <v>4413</v>
      </c>
      <c r="AH804" s="80" t="s">
        <v>5357</v>
      </c>
      <c r="AI804" s="80">
        <v>6577</v>
      </c>
      <c r="AJ804" s="80">
        <v>0</v>
      </c>
      <c r="AK804" s="80">
        <v>27</v>
      </c>
      <c r="AL804" s="80">
        <v>4</v>
      </c>
      <c r="AM804" s="80" t="s">
        <v>5614</v>
      </c>
      <c r="AN804" s="102" t="str">
        <f>HYPERLINK("https://www.youtube.com/watch?v=_Ct0uA9miqI")</f>
        <v>https://www.youtube.com/watch?v=_Ct0uA9miqI</v>
      </c>
      <c r="AO804" s="2"/>
      <c r="AP804" s="3"/>
      <c r="AQ804" s="3"/>
      <c r="AR804" s="3"/>
      <c r="AS804" s="3"/>
    </row>
    <row r="805" spans="1:45" ht="15">
      <c r="A805" s="66" t="s">
        <v>980</v>
      </c>
      <c r="B805" s="67"/>
      <c r="C805" s="67"/>
      <c r="D805" s="68"/>
      <c r="E805" s="70"/>
      <c r="F805" s="100" t="str">
        <f>HYPERLINK("https://i.ytimg.com/vi/Tniz_Z4OBoo/default.jpg")</f>
        <v>https://i.ytimg.com/vi/Tniz_Z4OBoo/default.jpg</v>
      </c>
      <c r="G805" s="67"/>
      <c r="H805" s="71"/>
      <c r="I805" s="72"/>
      <c r="J805" s="72"/>
      <c r="K805" s="71" t="s">
        <v>2034</v>
      </c>
      <c r="L805" s="75"/>
      <c r="M805" s="76">
        <v>4279.34765625</v>
      </c>
      <c r="N805" s="76">
        <v>5526.65673828125</v>
      </c>
      <c r="O805" s="77"/>
      <c r="P805" s="78"/>
      <c r="Q805" s="78"/>
      <c r="R805" s="82"/>
      <c r="S805" s="82"/>
      <c r="T805" s="82"/>
      <c r="U805" s="82"/>
      <c r="V805" s="52"/>
      <c r="W805" s="52"/>
      <c r="X805" s="52"/>
      <c r="Y805" s="52"/>
      <c r="Z805" s="51"/>
      <c r="AA805" s="73">
        <v>805</v>
      </c>
      <c r="AB805" s="73"/>
      <c r="AC805" s="74"/>
      <c r="AD805" s="80" t="s">
        <v>2034</v>
      </c>
      <c r="AE805" s="80" t="s">
        <v>2957</v>
      </c>
      <c r="AF805" s="80" t="s">
        <v>3688</v>
      </c>
      <c r="AG805" s="80" t="s">
        <v>4414</v>
      </c>
      <c r="AH805" s="80" t="s">
        <v>5358</v>
      </c>
      <c r="AI805" s="80">
        <v>107674</v>
      </c>
      <c r="AJ805" s="80">
        <v>52</v>
      </c>
      <c r="AK805" s="80">
        <v>1002</v>
      </c>
      <c r="AL805" s="80">
        <v>58</v>
      </c>
      <c r="AM805" s="80" t="s">
        <v>5614</v>
      </c>
      <c r="AN805" s="102" t="str">
        <f>HYPERLINK("https://www.youtube.com/watch?v=Tniz_Z4OBoo")</f>
        <v>https://www.youtube.com/watch?v=Tniz_Z4OBoo</v>
      </c>
      <c r="AO805" s="2"/>
      <c r="AP805" s="3"/>
      <c r="AQ805" s="3"/>
      <c r="AR805" s="3"/>
      <c r="AS805" s="3"/>
    </row>
    <row r="806" spans="1:45" ht="15">
      <c r="A806" s="66" t="s">
        <v>981</v>
      </c>
      <c r="B806" s="67"/>
      <c r="C806" s="67"/>
      <c r="D806" s="68"/>
      <c r="E806" s="70"/>
      <c r="F806" s="100" t="str">
        <f>HYPERLINK("https://i.ytimg.com/vi/PfjpZN08SIw/default.jpg")</f>
        <v>https://i.ytimg.com/vi/PfjpZN08SIw/default.jpg</v>
      </c>
      <c r="G806" s="67"/>
      <c r="H806" s="71"/>
      <c r="I806" s="72"/>
      <c r="J806" s="72"/>
      <c r="K806" s="71" t="s">
        <v>2035</v>
      </c>
      <c r="L806" s="75"/>
      <c r="M806" s="76">
        <v>3960.819580078125</v>
      </c>
      <c r="N806" s="76">
        <v>5262.34228515625</v>
      </c>
      <c r="O806" s="77"/>
      <c r="P806" s="78"/>
      <c r="Q806" s="78"/>
      <c r="R806" s="82"/>
      <c r="S806" s="82"/>
      <c r="T806" s="82"/>
      <c r="U806" s="82"/>
      <c r="V806" s="52"/>
      <c r="W806" s="52"/>
      <c r="X806" s="52"/>
      <c r="Y806" s="52"/>
      <c r="Z806" s="51"/>
      <c r="AA806" s="73">
        <v>806</v>
      </c>
      <c r="AB806" s="73"/>
      <c r="AC806" s="74"/>
      <c r="AD806" s="80" t="s">
        <v>2035</v>
      </c>
      <c r="AE806" s="80" t="s">
        <v>2958</v>
      </c>
      <c r="AF806" s="80"/>
      <c r="AG806" s="80" t="s">
        <v>4415</v>
      </c>
      <c r="AH806" s="80" t="s">
        <v>5359</v>
      </c>
      <c r="AI806" s="80">
        <v>59</v>
      </c>
      <c r="AJ806" s="80">
        <v>0</v>
      </c>
      <c r="AK806" s="80">
        <v>2</v>
      </c>
      <c r="AL806" s="80">
        <v>0</v>
      </c>
      <c r="AM806" s="80" t="s">
        <v>5614</v>
      </c>
      <c r="AN806" s="102" t="str">
        <f>HYPERLINK("https://www.youtube.com/watch?v=PfjpZN08SIw")</f>
        <v>https://www.youtube.com/watch?v=PfjpZN08SIw</v>
      </c>
      <c r="AO806" s="2"/>
      <c r="AP806" s="3"/>
      <c r="AQ806" s="3"/>
      <c r="AR806" s="3"/>
      <c r="AS806" s="3"/>
    </row>
    <row r="807" spans="1:45" ht="15">
      <c r="A807" s="66" t="s">
        <v>982</v>
      </c>
      <c r="B807" s="67"/>
      <c r="C807" s="67"/>
      <c r="D807" s="68"/>
      <c r="E807" s="70"/>
      <c r="F807" s="100" t="str">
        <f>HYPERLINK("https://i.ytimg.com/vi/znvIAR-4I24/default.jpg")</f>
        <v>https://i.ytimg.com/vi/znvIAR-4I24/default.jpg</v>
      </c>
      <c r="G807" s="67"/>
      <c r="H807" s="71"/>
      <c r="I807" s="72"/>
      <c r="J807" s="72"/>
      <c r="K807" s="71" t="s">
        <v>2036</v>
      </c>
      <c r="L807" s="75"/>
      <c r="M807" s="76">
        <v>5723.26611328125</v>
      </c>
      <c r="N807" s="76">
        <v>5534.6181640625</v>
      </c>
      <c r="O807" s="77"/>
      <c r="P807" s="78"/>
      <c r="Q807" s="78"/>
      <c r="R807" s="82"/>
      <c r="S807" s="82"/>
      <c r="T807" s="82"/>
      <c r="U807" s="82"/>
      <c r="V807" s="52"/>
      <c r="W807" s="52"/>
      <c r="X807" s="52"/>
      <c r="Y807" s="52"/>
      <c r="Z807" s="51"/>
      <c r="AA807" s="73">
        <v>807</v>
      </c>
      <c r="AB807" s="73"/>
      <c r="AC807" s="74"/>
      <c r="AD807" s="80" t="s">
        <v>2036</v>
      </c>
      <c r="AE807" s="80" t="s">
        <v>2959</v>
      </c>
      <c r="AF807" s="80"/>
      <c r="AG807" s="80" t="s">
        <v>4269</v>
      </c>
      <c r="AH807" s="80" t="s">
        <v>5360</v>
      </c>
      <c r="AI807" s="80">
        <v>246037</v>
      </c>
      <c r="AJ807" s="80">
        <v>0</v>
      </c>
      <c r="AK807" s="80">
        <v>0</v>
      </c>
      <c r="AL807" s="80">
        <v>0</v>
      </c>
      <c r="AM807" s="80" t="s">
        <v>5614</v>
      </c>
      <c r="AN807" s="102" t="str">
        <f>HYPERLINK("https://www.youtube.com/watch?v=znvIAR-4I24")</f>
        <v>https://www.youtube.com/watch?v=znvIAR-4I24</v>
      </c>
      <c r="AO807" s="2"/>
      <c r="AP807" s="3"/>
      <c r="AQ807" s="3"/>
      <c r="AR807" s="3"/>
      <c r="AS807" s="3"/>
    </row>
    <row r="808" spans="1:45" ht="15">
      <c r="A808" s="66" t="s">
        <v>983</v>
      </c>
      <c r="B808" s="67"/>
      <c r="C808" s="67"/>
      <c r="D808" s="68"/>
      <c r="E808" s="70"/>
      <c r="F808" s="100" t="str">
        <f>HYPERLINK("https://i.ytimg.com/vi/hKrKfshNVOQ/default.jpg")</f>
        <v>https://i.ytimg.com/vi/hKrKfshNVOQ/default.jpg</v>
      </c>
      <c r="G808" s="67"/>
      <c r="H808" s="71"/>
      <c r="I808" s="72"/>
      <c r="J808" s="72"/>
      <c r="K808" s="71" t="s">
        <v>2037</v>
      </c>
      <c r="L808" s="75"/>
      <c r="M808" s="76">
        <v>4100.7333984375</v>
      </c>
      <c r="N808" s="76">
        <v>5279.92333984375</v>
      </c>
      <c r="O808" s="77"/>
      <c r="P808" s="78"/>
      <c r="Q808" s="78"/>
      <c r="R808" s="82"/>
      <c r="S808" s="82"/>
      <c r="T808" s="82"/>
      <c r="U808" s="82"/>
      <c r="V808" s="52"/>
      <c r="W808" s="52"/>
      <c r="X808" s="52"/>
      <c r="Y808" s="52"/>
      <c r="Z808" s="51"/>
      <c r="AA808" s="73">
        <v>808</v>
      </c>
      <c r="AB808" s="73"/>
      <c r="AC808" s="74"/>
      <c r="AD808" s="80" t="s">
        <v>2037</v>
      </c>
      <c r="AE808" s="80" t="s">
        <v>2960</v>
      </c>
      <c r="AF808" s="80" t="s">
        <v>3689</v>
      </c>
      <c r="AG808" s="80" t="s">
        <v>4416</v>
      </c>
      <c r="AH808" s="80" t="s">
        <v>5361</v>
      </c>
      <c r="AI808" s="80">
        <v>71659</v>
      </c>
      <c r="AJ808" s="80">
        <v>192</v>
      </c>
      <c r="AK808" s="80">
        <v>3269</v>
      </c>
      <c r="AL808" s="80">
        <v>48</v>
      </c>
      <c r="AM808" s="80" t="s">
        <v>5614</v>
      </c>
      <c r="AN808" s="102" t="str">
        <f>HYPERLINK("https://www.youtube.com/watch?v=hKrKfshNVOQ")</f>
        <v>https://www.youtube.com/watch?v=hKrKfshNVOQ</v>
      </c>
      <c r="AO808" s="2"/>
      <c r="AP808" s="3"/>
      <c r="AQ808" s="3"/>
      <c r="AR808" s="3"/>
      <c r="AS808" s="3"/>
    </row>
    <row r="809" spans="1:45" ht="15">
      <c r="A809" s="66" t="s">
        <v>984</v>
      </c>
      <c r="B809" s="67"/>
      <c r="C809" s="67"/>
      <c r="D809" s="68"/>
      <c r="E809" s="70"/>
      <c r="F809" s="100" t="str">
        <f>HYPERLINK("https://i.ytimg.com/vi/_AwyYPVuGYg/default.jpg")</f>
        <v>https://i.ytimg.com/vi/_AwyYPVuGYg/default.jpg</v>
      </c>
      <c r="G809" s="67"/>
      <c r="H809" s="71"/>
      <c r="I809" s="72"/>
      <c r="J809" s="72"/>
      <c r="K809" s="71" t="s">
        <v>2038</v>
      </c>
      <c r="L809" s="75"/>
      <c r="M809" s="76">
        <v>3998.83203125</v>
      </c>
      <c r="N809" s="76">
        <v>5123.47314453125</v>
      </c>
      <c r="O809" s="77"/>
      <c r="P809" s="78"/>
      <c r="Q809" s="78"/>
      <c r="R809" s="82"/>
      <c r="S809" s="82"/>
      <c r="T809" s="82"/>
      <c r="U809" s="82"/>
      <c r="V809" s="52"/>
      <c r="W809" s="52"/>
      <c r="X809" s="52"/>
      <c r="Y809" s="52"/>
      <c r="Z809" s="51"/>
      <c r="AA809" s="73">
        <v>809</v>
      </c>
      <c r="AB809" s="73"/>
      <c r="AC809" s="74"/>
      <c r="AD809" s="80" t="s">
        <v>2038</v>
      </c>
      <c r="AE809" s="80" t="s">
        <v>2961</v>
      </c>
      <c r="AF809" s="80" t="s">
        <v>3690</v>
      </c>
      <c r="AG809" s="80" t="s">
        <v>4417</v>
      </c>
      <c r="AH809" s="80" t="s">
        <v>5362</v>
      </c>
      <c r="AI809" s="80">
        <v>487634</v>
      </c>
      <c r="AJ809" s="80">
        <v>0</v>
      </c>
      <c r="AK809" s="80">
        <v>2859</v>
      </c>
      <c r="AL809" s="80">
        <v>239</v>
      </c>
      <c r="AM809" s="80" t="s">
        <v>5614</v>
      </c>
      <c r="AN809" s="102" t="str">
        <f>HYPERLINK("https://www.youtube.com/watch?v=_AwyYPVuGYg")</f>
        <v>https://www.youtube.com/watch?v=_AwyYPVuGYg</v>
      </c>
      <c r="AO809" s="2"/>
      <c r="AP809" s="3"/>
      <c r="AQ809" s="3"/>
      <c r="AR809" s="3"/>
      <c r="AS809" s="3"/>
    </row>
    <row r="810" spans="1:45" ht="15">
      <c r="A810" s="66" t="s">
        <v>985</v>
      </c>
      <c r="B810" s="67"/>
      <c r="C810" s="67"/>
      <c r="D810" s="68"/>
      <c r="E810" s="70"/>
      <c r="F810" s="100" t="str">
        <f>HYPERLINK("https://i.ytimg.com/vi/yhO_t-c3yJY/default.jpg")</f>
        <v>https://i.ytimg.com/vi/yhO_t-c3yJY/default.jpg</v>
      </c>
      <c r="G810" s="67"/>
      <c r="H810" s="71"/>
      <c r="I810" s="72"/>
      <c r="J810" s="72"/>
      <c r="K810" s="71" t="s">
        <v>2039</v>
      </c>
      <c r="L810" s="75"/>
      <c r="M810" s="76">
        <v>4046.156005859375</v>
      </c>
      <c r="N810" s="76">
        <v>5263.18505859375</v>
      </c>
      <c r="O810" s="77"/>
      <c r="P810" s="78"/>
      <c r="Q810" s="78"/>
      <c r="R810" s="82"/>
      <c r="S810" s="82"/>
      <c r="T810" s="82"/>
      <c r="U810" s="82"/>
      <c r="V810" s="52"/>
      <c r="W810" s="52"/>
      <c r="X810" s="52"/>
      <c r="Y810" s="52"/>
      <c r="Z810" s="51"/>
      <c r="AA810" s="73">
        <v>810</v>
      </c>
      <c r="AB810" s="73"/>
      <c r="AC810" s="74"/>
      <c r="AD810" s="80" t="s">
        <v>2039</v>
      </c>
      <c r="AE810" s="80" t="s">
        <v>2962</v>
      </c>
      <c r="AF810" s="80" t="s">
        <v>3691</v>
      </c>
      <c r="AG810" s="80" t="s">
        <v>4418</v>
      </c>
      <c r="AH810" s="80" t="s">
        <v>5363</v>
      </c>
      <c r="AI810" s="80">
        <v>87598</v>
      </c>
      <c r="AJ810" s="80">
        <v>49</v>
      </c>
      <c r="AK810" s="80">
        <v>0</v>
      </c>
      <c r="AL810" s="80">
        <v>0</v>
      </c>
      <c r="AM810" s="80" t="s">
        <v>5614</v>
      </c>
      <c r="AN810" s="102" t="str">
        <f>HYPERLINK("https://www.youtube.com/watch?v=yhO_t-c3yJY")</f>
        <v>https://www.youtube.com/watch?v=yhO_t-c3yJY</v>
      </c>
      <c r="AO810" s="2"/>
      <c r="AP810" s="3"/>
      <c r="AQ810" s="3"/>
      <c r="AR810" s="3"/>
      <c r="AS810" s="3"/>
    </row>
    <row r="811" spans="1:45" ht="15">
      <c r="A811" s="66" t="s">
        <v>986</v>
      </c>
      <c r="B811" s="67"/>
      <c r="C811" s="67"/>
      <c r="D811" s="68"/>
      <c r="E811" s="70"/>
      <c r="F811" s="100" t="str">
        <f>HYPERLINK("https://i.ytimg.com/vi/IzAuGa7YKeU/default.jpg")</f>
        <v>https://i.ytimg.com/vi/IzAuGa7YKeU/default.jpg</v>
      </c>
      <c r="G811" s="67"/>
      <c r="H811" s="71"/>
      <c r="I811" s="72"/>
      <c r="J811" s="72"/>
      <c r="K811" s="71" t="s">
        <v>2040</v>
      </c>
      <c r="L811" s="75"/>
      <c r="M811" s="76">
        <v>4179.81494140625</v>
      </c>
      <c r="N811" s="76">
        <v>5406.37060546875</v>
      </c>
      <c r="O811" s="77"/>
      <c r="P811" s="78"/>
      <c r="Q811" s="78"/>
      <c r="R811" s="82"/>
      <c r="S811" s="82"/>
      <c r="T811" s="82"/>
      <c r="U811" s="82"/>
      <c r="V811" s="52"/>
      <c r="W811" s="52"/>
      <c r="X811" s="52"/>
      <c r="Y811" s="52"/>
      <c r="Z811" s="51"/>
      <c r="AA811" s="73">
        <v>811</v>
      </c>
      <c r="AB811" s="73"/>
      <c r="AC811" s="74"/>
      <c r="AD811" s="80" t="s">
        <v>2040</v>
      </c>
      <c r="AE811" s="80" t="s">
        <v>2963</v>
      </c>
      <c r="AF811" s="80" t="s">
        <v>3692</v>
      </c>
      <c r="AG811" s="80" t="s">
        <v>4419</v>
      </c>
      <c r="AH811" s="80" t="s">
        <v>5364</v>
      </c>
      <c r="AI811" s="80">
        <v>170169</v>
      </c>
      <c r="AJ811" s="80">
        <v>103</v>
      </c>
      <c r="AK811" s="80">
        <v>2656</v>
      </c>
      <c r="AL811" s="80">
        <v>74</v>
      </c>
      <c r="AM811" s="80" t="s">
        <v>5614</v>
      </c>
      <c r="AN811" s="102" t="str">
        <f>HYPERLINK("https://www.youtube.com/watch?v=IzAuGa7YKeU")</f>
        <v>https://www.youtube.com/watch?v=IzAuGa7YKeU</v>
      </c>
      <c r="AO811" s="2"/>
      <c r="AP811" s="3"/>
      <c r="AQ811" s="3"/>
      <c r="AR811" s="3"/>
      <c r="AS811" s="3"/>
    </row>
    <row r="812" spans="1:45" ht="15">
      <c r="A812" s="66" t="s">
        <v>987</v>
      </c>
      <c r="B812" s="67"/>
      <c r="C812" s="67"/>
      <c r="D812" s="68"/>
      <c r="E812" s="70"/>
      <c r="F812" s="100" t="str">
        <f>HYPERLINK("https://i.ytimg.com/vi/s_Az3Azecuc/default.jpg")</f>
        <v>https://i.ytimg.com/vi/s_Az3Azecuc/default.jpg</v>
      </c>
      <c r="G812" s="67"/>
      <c r="H812" s="71"/>
      <c r="I812" s="72"/>
      <c r="J812" s="72"/>
      <c r="K812" s="71" t="s">
        <v>2041</v>
      </c>
      <c r="L812" s="75"/>
      <c r="M812" s="76">
        <v>4282.6435546875</v>
      </c>
      <c r="N812" s="76">
        <v>5411.68701171875</v>
      </c>
      <c r="O812" s="77"/>
      <c r="P812" s="78"/>
      <c r="Q812" s="78"/>
      <c r="R812" s="82"/>
      <c r="S812" s="82"/>
      <c r="T812" s="82"/>
      <c r="U812" s="82"/>
      <c r="V812" s="52"/>
      <c r="W812" s="52"/>
      <c r="X812" s="52"/>
      <c r="Y812" s="52"/>
      <c r="Z812" s="51"/>
      <c r="AA812" s="73">
        <v>812</v>
      </c>
      <c r="AB812" s="73"/>
      <c r="AC812" s="74"/>
      <c r="AD812" s="80" t="s">
        <v>2041</v>
      </c>
      <c r="AE812" s="80" t="s">
        <v>2964</v>
      </c>
      <c r="AF812" s="80" t="s">
        <v>3693</v>
      </c>
      <c r="AG812" s="80" t="s">
        <v>4420</v>
      </c>
      <c r="AH812" s="80" t="s">
        <v>5365</v>
      </c>
      <c r="AI812" s="80">
        <v>1811848</v>
      </c>
      <c r="AJ812" s="80">
        <v>957</v>
      </c>
      <c r="AK812" s="80">
        <v>36322</v>
      </c>
      <c r="AL812" s="80">
        <v>1584</v>
      </c>
      <c r="AM812" s="80" t="s">
        <v>5614</v>
      </c>
      <c r="AN812" s="102" t="str">
        <f>HYPERLINK("https://www.youtube.com/watch?v=s_Az3Azecuc")</f>
        <v>https://www.youtube.com/watch?v=s_Az3Azecuc</v>
      </c>
      <c r="AO812" s="2"/>
      <c r="AP812" s="3"/>
      <c r="AQ812" s="3"/>
      <c r="AR812" s="3"/>
      <c r="AS812" s="3"/>
    </row>
    <row r="813" spans="1:45" ht="15">
      <c r="A813" s="66" t="s">
        <v>988</v>
      </c>
      <c r="B813" s="67"/>
      <c r="C813" s="67"/>
      <c r="D813" s="68"/>
      <c r="E813" s="70"/>
      <c r="F813" s="100" t="str">
        <f>HYPERLINK("https://i.ytimg.com/vi/pP7mReQuebw/default.jpg")</f>
        <v>https://i.ytimg.com/vi/pP7mReQuebw/default.jpg</v>
      </c>
      <c r="G813" s="67"/>
      <c r="H813" s="71"/>
      <c r="I813" s="72"/>
      <c r="J813" s="72"/>
      <c r="K813" s="71" t="s">
        <v>2042</v>
      </c>
      <c r="L813" s="75"/>
      <c r="M813" s="76">
        <v>8738.93359375</v>
      </c>
      <c r="N813" s="76">
        <v>5311.6962890625</v>
      </c>
      <c r="O813" s="77"/>
      <c r="P813" s="78"/>
      <c r="Q813" s="78"/>
      <c r="R813" s="82"/>
      <c r="S813" s="82"/>
      <c r="T813" s="82"/>
      <c r="U813" s="82"/>
      <c r="V813" s="52"/>
      <c r="W813" s="52"/>
      <c r="X813" s="52"/>
      <c r="Y813" s="52"/>
      <c r="Z813" s="51"/>
      <c r="AA813" s="73">
        <v>813</v>
      </c>
      <c r="AB813" s="73"/>
      <c r="AC813" s="74"/>
      <c r="AD813" s="80" t="s">
        <v>2042</v>
      </c>
      <c r="AE813" s="80" t="s">
        <v>2965</v>
      </c>
      <c r="AF813" s="80" t="s">
        <v>3694</v>
      </c>
      <c r="AG813" s="80" t="s">
        <v>4421</v>
      </c>
      <c r="AH813" s="80" t="s">
        <v>5366</v>
      </c>
      <c r="AI813" s="80">
        <v>9619</v>
      </c>
      <c r="AJ813" s="80">
        <v>16</v>
      </c>
      <c r="AK813" s="80">
        <v>109</v>
      </c>
      <c r="AL813" s="80">
        <v>71</v>
      </c>
      <c r="AM813" s="80" t="s">
        <v>5614</v>
      </c>
      <c r="AN813" s="102" t="str">
        <f>HYPERLINK("https://www.youtube.com/watch?v=pP7mReQuebw")</f>
        <v>https://www.youtube.com/watch?v=pP7mReQuebw</v>
      </c>
      <c r="AO813" s="2"/>
      <c r="AP813" s="3"/>
      <c r="AQ813" s="3"/>
      <c r="AR813" s="3"/>
      <c r="AS813" s="3"/>
    </row>
    <row r="814" spans="1:45" ht="15">
      <c r="A814" s="66" t="s">
        <v>989</v>
      </c>
      <c r="B814" s="67"/>
      <c r="C814" s="67"/>
      <c r="D814" s="68"/>
      <c r="E814" s="70"/>
      <c r="F814" s="100" t="str">
        <f>HYPERLINK("https://i.ytimg.com/vi/NeQ4eE1QVVU/default.jpg")</f>
        <v>https://i.ytimg.com/vi/NeQ4eE1QVVU/default.jpg</v>
      </c>
      <c r="G814" s="67"/>
      <c r="H814" s="71"/>
      <c r="I814" s="72"/>
      <c r="J814" s="72"/>
      <c r="K814" s="71" t="s">
        <v>2043</v>
      </c>
      <c r="L814" s="75"/>
      <c r="M814" s="76">
        <v>4708.82958984375</v>
      </c>
      <c r="N814" s="76">
        <v>4163.68701171875</v>
      </c>
      <c r="O814" s="77"/>
      <c r="P814" s="78"/>
      <c r="Q814" s="78"/>
      <c r="R814" s="82"/>
      <c r="S814" s="82"/>
      <c r="T814" s="82"/>
      <c r="U814" s="82"/>
      <c r="V814" s="52"/>
      <c r="W814" s="52"/>
      <c r="X814" s="52"/>
      <c r="Y814" s="52"/>
      <c r="Z814" s="51"/>
      <c r="AA814" s="73">
        <v>814</v>
      </c>
      <c r="AB814" s="73"/>
      <c r="AC814" s="74"/>
      <c r="AD814" s="80" t="s">
        <v>2043</v>
      </c>
      <c r="AE814" s="80" t="s">
        <v>2966</v>
      </c>
      <c r="AF814" s="80" t="s">
        <v>3695</v>
      </c>
      <c r="AG814" s="80" t="s">
        <v>4422</v>
      </c>
      <c r="AH814" s="80" t="s">
        <v>5367</v>
      </c>
      <c r="AI814" s="80">
        <v>181383</v>
      </c>
      <c r="AJ814" s="80">
        <v>221</v>
      </c>
      <c r="AK814" s="80">
        <v>5231</v>
      </c>
      <c r="AL814" s="80">
        <v>127</v>
      </c>
      <c r="AM814" s="80" t="s">
        <v>5614</v>
      </c>
      <c r="AN814" s="102" t="str">
        <f>HYPERLINK("https://www.youtube.com/watch?v=NeQ4eE1QVVU")</f>
        <v>https://www.youtube.com/watch?v=NeQ4eE1QVVU</v>
      </c>
      <c r="AO814" s="2"/>
      <c r="AP814" s="3"/>
      <c r="AQ814" s="3"/>
      <c r="AR814" s="3"/>
      <c r="AS814" s="3"/>
    </row>
    <row r="815" spans="1:45" ht="15">
      <c r="A815" s="66" t="s">
        <v>990</v>
      </c>
      <c r="B815" s="67"/>
      <c r="C815" s="67"/>
      <c r="D815" s="68"/>
      <c r="E815" s="70"/>
      <c r="F815" s="100" t="str">
        <f>HYPERLINK("https://i.ytimg.com/vi/_5BklQTGJmE/default.jpg")</f>
        <v>https://i.ytimg.com/vi/_5BklQTGJmE/default.jpg</v>
      </c>
      <c r="G815" s="67"/>
      <c r="H815" s="71"/>
      <c r="I815" s="72"/>
      <c r="J815" s="72"/>
      <c r="K815" s="71" t="s">
        <v>2044</v>
      </c>
      <c r="L815" s="75"/>
      <c r="M815" s="76">
        <v>5814.83740234375</v>
      </c>
      <c r="N815" s="76">
        <v>5399.56884765625</v>
      </c>
      <c r="O815" s="77"/>
      <c r="P815" s="78"/>
      <c r="Q815" s="78"/>
      <c r="R815" s="82"/>
      <c r="S815" s="82"/>
      <c r="T815" s="82"/>
      <c r="U815" s="82"/>
      <c r="V815" s="52"/>
      <c r="W815" s="52"/>
      <c r="X815" s="52"/>
      <c r="Y815" s="52"/>
      <c r="Z815" s="51"/>
      <c r="AA815" s="73">
        <v>815</v>
      </c>
      <c r="AB815" s="73"/>
      <c r="AC815" s="74"/>
      <c r="AD815" s="80" t="s">
        <v>2044</v>
      </c>
      <c r="AE815" s="80" t="s">
        <v>2967</v>
      </c>
      <c r="AF815" s="80" t="s">
        <v>3696</v>
      </c>
      <c r="AG815" s="80" t="s">
        <v>4423</v>
      </c>
      <c r="AH815" s="80" t="s">
        <v>5368</v>
      </c>
      <c r="AI815" s="80">
        <v>37449</v>
      </c>
      <c r="AJ815" s="80">
        <v>87</v>
      </c>
      <c r="AK815" s="80">
        <v>1933</v>
      </c>
      <c r="AL815" s="80">
        <v>7</v>
      </c>
      <c r="AM815" s="80" t="s">
        <v>5614</v>
      </c>
      <c r="AN815" s="102" t="str">
        <f>HYPERLINK("https://www.youtube.com/watch?v=_5BklQTGJmE")</f>
        <v>https://www.youtube.com/watch?v=_5BklQTGJmE</v>
      </c>
      <c r="AO815" s="2"/>
      <c r="AP815" s="3"/>
      <c r="AQ815" s="3"/>
      <c r="AR815" s="3"/>
      <c r="AS815" s="3"/>
    </row>
    <row r="816" spans="1:45" ht="15">
      <c r="A816" s="66" t="s">
        <v>991</v>
      </c>
      <c r="B816" s="67"/>
      <c r="C816" s="67"/>
      <c r="D816" s="68"/>
      <c r="E816" s="70"/>
      <c r="F816" s="100" t="str">
        <f>HYPERLINK("https://i.ytimg.com/vi/x2XVS9JPPkM/default.jpg")</f>
        <v>https://i.ytimg.com/vi/x2XVS9JPPkM/default.jpg</v>
      </c>
      <c r="G816" s="67"/>
      <c r="H816" s="71"/>
      <c r="I816" s="72"/>
      <c r="J816" s="72"/>
      <c r="K816" s="71" t="s">
        <v>2045</v>
      </c>
      <c r="L816" s="75"/>
      <c r="M816" s="76">
        <v>8556.8583984375</v>
      </c>
      <c r="N816" s="76">
        <v>5705.59423828125</v>
      </c>
      <c r="O816" s="77"/>
      <c r="P816" s="78"/>
      <c r="Q816" s="78"/>
      <c r="R816" s="82"/>
      <c r="S816" s="82"/>
      <c r="T816" s="82"/>
      <c r="U816" s="82"/>
      <c r="V816" s="52"/>
      <c r="W816" s="52"/>
      <c r="X816" s="52"/>
      <c r="Y816" s="52"/>
      <c r="Z816" s="51"/>
      <c r="AA816" s="73">
        <v>816</v>
      </c>
      <c r="AB816" s="73"/>
      <c r="AC816" s="74"/>
      <c r="AD816" s="80" t="s">
        <v>2045</v>
      </c>
      <c r="AE816" s="80" t="s">
        <v>2968</v>
      </c>
      <c r="AF816" s="80" t="s">
        <v>3697</v>
      </c>
      <c r="AG816" s="80" t="s">
        <v>4424</v>
      </c>
      <c r="AH816" s="80" t="s">
        <v>5369</v>
      </c>
      <c r="AI816" s="80">
        <v>355361</v>
      </c>
      <c r="AJ816" s="80">
        <v>336</v>
      </c>
      <c r="AK816" s="80">
        <v>6682</v>
      </c>
      <c r="AL816" s="80">
        <v>245</v>
      </c>
      <c r="AM816" s="80" t="s">
        <v>5614</v>
      </c>
      <c r="AN816" s="102" t="str">
        <f>HYPERLINK("https://www.youtube.com/watch?v=x2XVS9JPPkM")</f>
        <v>https://www.youtube.com/watch?v=x2XVS9JPPkM</v>
      </c>
      <c r="AO816" s="2"/>
      <c r="AP816" s="3"/>
      <c r="AQ816" s="3"/>
      <c r="AR816" s="3"/>
      <c r="AS816" s="3"/>
    </row>
    <row r="817" spans="1:45" ht="15">
      <c r="A817" s="66" t="s">
        <v>992</v>
      </c>
      <c r="B817" s="67"/>
      <c r="C817" s="67"/>
      <c r="D817" s="68"/>
      <c r="E817" s="70"/>
      <c r="F817" s="100" t="str">
        <f>HYPERLINK("https://i.ytimg.com/vi/JUY-Rj4U_0U/default.jpg")</f>
        <v>https://i.ytimg.com/vi/JUY-Rj4U_0U/default.jpg</v>
      </c>
      <c r="G817" s="67"/>
      <c r="H817" s="71"/>
      <c r="I817" s="72"/>
      <c r="J817" s="72"/>
      <c r="K817" s="71" t="s">
        <v>2046</v>
      </c>
      <c r="L817" s="75"/>
      <c r="M817" s="76">
        <v>8615.9697265625</v>
      </c>
      <c r="N817" s="76">
        <v>5593.4052734375</v>
      </c>
      <c r="O817" s="77"/>
      <c r="P817" s="78"/>
      <c r="Q817" s="78"/>
      <c r="R817" s="82"/>
      <c r="S817" s="82"/>
      <c r="T817" s="82"/>
      <c r="U817" s="82"/>
      <c r="V817" s="52"/>
      <c r="W817" s="52"/>
      <c r="X817" s="52"/>
      <c r="Y817" s="52"/>
      <c r="Z817" s="51"/>
      <c r="AA817" s="73">
        <v>817</v>
      </c>
      <c r="AB817" s="73"/>
      <c r="AC817" s="74"/>
      <c r="AD817" s="80" t="s">
        <v>2046</v>
      </c>
      <c r="AE817" s="80" t="s">
        <v>2969</v>
      </c>
      <c r="AF817" s="80"/>
      <c r="AG817" s="80" t="s">
        <v>4425</v>
      </c>
      <c r="AH817" s="80" t="s">
        <v>5370</v>
      </c>
      <c r="AI817" s="80">
        <v>4336</v>
      </c>
      <c r="AJ817" s="80">
        <v>0</v>
      </c>
      <c r="AK817" s="80">
        <v>23</v>
      </c>
      <c r="AL817" s="80">
        <v>1</v>
      </c>
      <c r="AM817" s="80" t="s">
        <v>5614</v>
      </c>
      <c r="AN817" s="102" t="str">
        <f>HYPERLINK("https://www.youtube.com/watch?v=JUY-Rj4U_0U")</f>
        <v>https://www.youtube.com/watch?v=JUY-Rj4U_0U</v>
      </c>
      <c r="AO817" s="2"/>
      <c r="AP817" s="3"/>
      <c r="AQ817" s="3"/>
      <c r="AR817" s="3"/>
      <c r="AS817" s="3"/>
    </row>
    <row r="818" spans="1:45" ht="15">
      <c r="A818" s="66" t="s">
        <v>993</v>
      </c>
      <c r="B818" s="67"/>
      <c r="C818" s="67"/>
      <c r="D818" s="68"/>
      <c r="E818" s="70"/>
      <c r="F818" s="100" t="str">
        <f>HYPERLINK("https://i.ytimg.com/vi/mRMzb6Pd994/default.jpg")</f>
        <v>https://i.ytimg.com/vi/mRMzb6Pd994/default.jpg</v>
      </c>
      <c r="G818" s="67"/>
      <c r="H818" s="71"/>
      <c r="I818" s="72"/>
      <c r="J818" s="72"/>
      <c r="K818" s="71" t="s">
        <v>2047</v>
      </c>
      <c r="L818" s="75"/>
      <c r="M818" s="76">
        <v>8624.5341796875</v>
      </c>
      <c r="N818" s="76">
        <v>5577.2724609375</v>
      </c>
      <c r="O818" s="77"/>
      <c r="P818" s="78"/>
      <c r="Q818" s="78"/>
      <c r="R818" s="82"/>
      <c r="S818" s="82"/>
      <c r="T818" s="82"/>
      <c r="U818" s="82"/>
      <c r="V818" s="52"/>
      <c r="W818" s="52"/>
      <c r="X818" s="52"/>
      <c r="Y818" s="52"/>
      <c r="Z818" s="51"/>
      <c r="AA818" s="73">
        <v>818</v>
      </c>
      <c r="AB818" s="73"/>
      <c r="AC818" s="74"/>
      <c r="AD818" s="80" t="s">
        <v>2047</v>
      </c>
      <c r="AE818" s="80" t="s">
        <v>2970</v>
      </c>
      <c r="AF818" s="80"/>
      <c r="AG818" s="80" t="s">
        <v>4426</v>
      </c>
      <c r="AH818" s="80" t="s">
        <v>5371</v>
      </c>
      <c r="AI818" s="80">
        <v>137609</v>
      </c>
      <c r="AJ818" s="80">
        <v>0</v>
      </c>
      <c r="AK818" s="80">
        <v>1626</v>
      </c>
      <c r="AL818" s="80">
        <v>120</v>
      </c>
      <c r="AM818" s="80" t="s">
        <v>5614</v>
      </c>
      <c r="AN818" s="102" t="str">
        <f>HYPERLINK("https://www.youtube.com/watch?v=mRMzb6Pd994")</f>
        <v>https://www.youtube.com/watch?v=mRMzb6Pd994</v>
      </c>
      <c r="AO818" s="2"/>
      <c r="AP818" s="3"/>
      <c r="AQ818" s="3"/>
      <c r="AR818" s="3"/>
      <c r="AS818" s="3"/>
    </row>
    <row r="819" spans="1:45" ht="15">
      <c r="A819" s="66" t="s">
        <v>994</v>
      </c>
      <c r="B819" s="67"/>
      <c r="C819" s="67"/>
      <c r="D819" s="68"/>
      <c r="E819" s="70"/>
      <c r="F819" s="100" t="str">
        <f>HYPERLINK("https://i.ytimg.com/vi/RCeQVjzdkJo/default.jpg")</f>
        <v>https://i.ytimg.com/vi/RCeQVjzdkJo/default.jpg</v>
      </c>
      <c r="G819" s="67"/>
      <c r="H819" s="71"/>
      <c r="I819" s="72"/>
      <c r="J819" s="72"/>
      <c r="K819" s="71" t="s">
        <v>2048</v>
      </c>
      <c r="L819" s="75"/>
      <c r="M819" s="76">
        <v>6213.41552734375</v>
      </c>
      <c r="N819" s="76">
        <v>2293.438720703125</v>
      </c>
      <c r="O819" s="77"/>
      <c r="P819" s="78"/>
      <c r="Q819" s="78"/>
      <c r="R819" s="82"/>
      <c r="S819" s="82"/>
      <c r="T819" s="82"/>
      <c r="U819" s="82"/>
      <c r="V819" s="52"/>
      <c r="W819" s="52"/>
      <c r="X819" s="52"/>
      <c r="Y819" s="52"/>
      <c r="Z819" s="51"/>
      <c r="AA819" s="73">
        <v>819</v>
      </c>
      <c r="AB819" s="73"/>
      <c r="AC819" s="74"/>
      <c r="AD819" s="80" t="s">
        <v>2048</v>
      </c>
      <c r="AE819" s="80" t="s">
        <v>2971</v>
      </c>
      <c r="AF819" s="80" t="s">
        <v>3698</v>
      </c>
      <c r="AG819" s="80" t="s">
        <v>4427</v>
      </c>
      <c r="AH819" s="80" t="s">
        <v>5372</v>
      </c>
      <c r="AI819" s="80">
        <v>933</v>
      </c>
      <c r="AJ819" s="80">
        <v>1</v>
      </c>
      <c r="AK819" s="80">
        <v>11</v>
      </c>
      <c r="AL819" s="80">
        <v>1</v>
      </c>
      <c r="AM819" s="80" t="s">
        <v>5614</v>
      </c>
      <c r="AN819" s="102" t="str">
        <f>HYPERLINK("https://www.youtube.com/watch?v=RCeQVjzdkJo")</f>
        <v>https://www.youtube.com/watch?v=RCeQVjzdkJo</v>
      </c>
      <c r="AO819" s="2"/>
      <c r="AP819" s="3"/>
      <c r="AQ819" s="3"/>
      <c r="AR819" s="3"/>
      <c r="AS819" s="3"/>
    </row>
    <row r="820" spans="1:45" ht="15">
      <c r="A820" s="66" t="s">
        <v>995</v>
      </c>
      <c r="B820" s="67"/>
      <c r="C820" s="67"/>
      <c r="D820" s="68"/>
      <c r="E820" s="70"/>
      <c r="F820" s="100" t="str">
        <f>HYPERLINK("https://i.ytimg.com/vi/wG_jXP8XOSw/default.jpg")</f>
        <v>https://i.ytimg.com/vi/wG_jXP8XOSw/default.jpg</v>
      </c>
      <c r="G820" s="67"/>
      <c r="H820" s="71"/>
      <c r="I820" s="72"/>
      <c r="J820" s="72"/>
      <c r="K820" s="71" t="s">
        <v>2049</v>
      </c>
      <c r="L820" s="75"/>
      <c r="M820" s="76">
        <v>8647.6064453125</v>
      </c>
      <c r="N820" s="76">
        <v>5506.177734375</v>
      </c>
      <c r="O820" s="77"/>
      <c r="P820" s="78"/>
      <c r="Q820" s="78"/>
      <c r="R820" s="82"/>
      <c r="S820" s="82"/>
      <c r="T820" s="82"/>
      <c r="U820" s="82"/>
      <c r="V820" s="52"/>
      <c r="W820" s="52"/>
      <c r="X820" s="52"/>
      <c r="Y820" s="52"/>
      <c r="Z820" s="51"/>
      <c r="AA820" s="73">
        <v>820</v>
      </c>
      <c r="AB820" s="73"/>
      <c r="AC820" s="74"/>
      <c r="AD820" s="80" t="s">
        <v>2049</v>
      </c>
      <c r="AE820" s="80" t="s">
        <v>2972</v>
      </c>
      <c r="AF820" s="80" t="s">
        <v>3699</v>
      </c>
      <c r="AG820" s="80" t="s">
        <v>4428</v>
      </c>
      <c r="AH820" s="80" t="s">
        <v>5373</v>
      </c>
      <c r="AI820" s="80">
        <v>1213718</v>
      </c>
      <c r="AJ820" s="80">
        <v>0</v>
      </c>
      <c r="AK820" s="80">
        <v>0</v>
      </c>
      <c r="AL820" s="80">
        <v>0</v>
      </c>
      <c r="AM820" s="80" t="s">
        <v>5614</v>
      </c>
      <c r="AN820" s="102" t="str">
        <f>HYPERLINK("https://www.youtube.com/watch?v=wG_jXP8XOSw")</f>
        <v>https://www.youtube.com/watch?v=wG_jXP8XOSw</v>
      </c>
      <c r="AO820" s="2"/>
      <c r="AP820" s="3"/>
      <c r="AQ820" s="3"/>
      <c r="AR820" s="3"/>
      <c r="AS820" s="3"/>
    </row>
    <row r="821" spans="1:45" ht="15">
      <c r="A821" s="66" t="s">
        <v>996</v>
      </c>
      <c r="B821" s="67"/>
      <c r="C821" s="67"/>
      <c r="D821" s="68"/>
      <c r="E821" s="70"/>
      <c r="F821" s="100" t="str">
        <f>HYPERLINK("https://i.ytimg.com/vi/5i9JVwdLudU/default.jpg")</f>
        <v>https://i.ytimg.com/vi/5i9JVwdLudU/default.jpg</v>
      </c>
      <c r="G821" s="67"/>
      <c r="H821" s="71"/>
      <c r="I821" s="72"/>
      <c r="J821" s="72"/>
      <c r="K821" s="71" t="s">
        <v>2050</v>
      </c>
      <c r="L821" s="75"/>
      <c r="M821" s="76">
        <v>4831.8173828125</v>
      </c>
      <c r="N821" s="76">
        <v>2620.669677734375</v>
      </c>
      <c r="O821" s="77"/>
      <c r="P821" s="78"/>
      <c r="Q821" s="78"/>
      <c r="R821" s="82"/>
      <c r="S821" s="82"/>
      <c r="T821" s="82"/>
      <c r="U821" s="82"/>
      <c r="V821" s="52"/>
      <c r="W821" s="52"/>
      <c r="X821" s="52"/>
      <c r="Y821" s="52"/>
      <c r="Z821" s="51"/>
      <c r="AA821" s="73">
        <v>821</v>
      </c>
      <c r="AB821" s="73"/>
      <c r="AC821" s="74"/>
      <c r="AD821" s="80" t="s">
        <v>2050</v>
      </c>
      <c r="AE821" s="80" t="s">
        <v>2973</v>
      </c>
      <c r="AF821" s="80" t="s">
        <v>3700</v>
      </c>
      <c r="AG821" s="80" t="s">
        <v>4137</v>
      </c>
      <c r="AH821" s="80" t="s">
        <v>5374</v>
      </c>
      <c r="AI821" s="80">
        <v>285303</v>
      </c>
      <c r="AJ821" s="80">
        <v>516</v>
      </c>
      <c r="AK821" s="80">
        <v>4992</v>
      </c>
      <c r="AL821" s="80">
        <v>169</v>
      </c>
      <c r="AM821" s="80" t="s">
        <v>5614</v>
      </c>
      <c r="AN821" s="102" t="str">
        <f>HYPERLINK("https://www.youtube.com/watch?v=5i9JVwdLudU")</f>
        <v>https://www.youtube.com/watch?v=5i9JVwdLudU</v>
      </c>
      <c r="AO821" s="2"/>
      <c r="AP821" s="3"/>
      <c r="AQ821" s="3"/>
      <c r="AR821" s="3"/>
      <c r="AS821" s="3"/>
    </row>
    <row r="822" spans="1:45" ht="15">
      <c r="A822" s="66" t="s">
        <v>997</v>
      </c>
      <c r="B822" s="67"/>
      <c r="C822" s="67"/>
      <c r="D822" s="68"/>
      <c r="E822" s="70"/>
      <c r="F822" s="100" t="str">
        <f>HYPERLINK("https://i.ytimg.com/vi/SWdBjNEaQLE/default.jpg")</f>
        <v>https://i.ytimg.com/vi/SWdBjNEaQLE/default.jpg</v>
      </c>
      <c r="G822" s="67"/>
      <c r="H822" s="71"/>
      <c r="I822" s="72"/>
      <c r="J822" s="72"/>
      <c r="K822" s="71" t="s">
        <v>2051</v>
      </c>
      <c r="L822" s="75"/>
      <c r="M822" s="76">
        <v>4842.86328125</v>
      </c>
      <c r="N822" s="76">
        <v>2318.35888671875</v>
      </c>
      <c r="O822" s="77"/>
      <c r="P822" s="78"/>
      <c r="Q822" s="78"/>
      <c r="R822" s="82"/>
      <c r="S822" s="82"/>
      <c r="T822" s="82"/>
      <c r="U822" s="82"/>
      <c r="V822" s="52"/>
      <c r="W822" s="52"/>
      <c r="X822" s="52"/>
      <c r="Y822" s="52"/>
      <c r="Z822" s="51"/>
      <c r="AA822" s="73">
        <v>822</v>
      </c>
      <c r="AB822" s="73"/>
      <c r="AC822" s="74"/>
      <c r="AD822" s="80" t="s">
        <v>2051</v>
      </c>
      <c r="AE822" s="80" t="s">
        <v>2974</v>
      </c>
      <c r="AF822" s="80"/>
      <c r="AG822" s="80" t="s">
        <v>4429</v>
      </c>
      <c r="AH822" s="80" t="s">
        <v>5375</v>
      </c>
      <c r="AI822" s="80">
        <v>252729</v>
      </c>
      <c r="AJ822" s="80">
        <v>150</v>
      </c>
      <c r="AK822" s="80">
        <v>1451</v>
      </c>
      <c r="AL822" s="80">
        <v>108</v>
      </c>
      <c r="AM822" s="80" t="s">
        <v>5614</v>
      </c>
      <c r="AN822" s="102" t="str">
        <f>HYPERLINK("https://www.youtube.com/watch?v=SWdBjNEaQLE")</f>
        <v>https://www.youtube.com/watch?v=SWdBjNEaQLE</v>
      </c>
      <c r="AO822" s="2"/>
      <c r="AP822" s="3"/>
      <c r="AQ822" s="3"/>
      <c r="AR822" s="3"/>
      <c r="AS822" s="3"/>
    </row>
    <row r="823" spans="1:45" ht="15">
      <c r="A823" s="66" t="s">
        <v>998</v>
      </c>
      <c r="B823" s="67"/>
      <c r="C823" s="67"/>
      <c r="D823" s="68"/>
      <c r="E823" s="70"/>
      <c r="F823" s="100" t="str">
        <f>HYPERLINK("https://i.ytimg.com/vi/3av7pWrGyiE/default.jpg")</f>
        <v>https://i.ytimg.com/vi/3av7pWrGyiE/default.jpg</v>
      </c>
      <c r="G823" s="67"/>
      <c r="H823" s="71"/>
      <c r="I823" s="72"/>
      <c r="J823" s="72"/>
      <c r="K823" s="71" t="s">
        <v>2052</v>
      </c>
      <c r="L823" s="75"/>
      <c r="M823" s="76">
        <v>4800.08544921875</v>
      </c>
      <c r="N823" s="76">
        <v>2571.947509765625</v>
      </c>
      <c r="O823" s="77"/>
      <c r="P823" s="78"/>
      <c r="Q823" s="78"/>
      <c r="R823" s="82"/>
      <c r="S823" s="82"/>
      <c r="T823" s="82"/>
      <c r="U823" s="82"/>
      <c r="V823" s="52"/>
      <c r="W823" s="52"/>
      <c r="X823" s="52"/>
      <c r="Y823" s="52"/>
      <c r="Z823" s="51"/>
      <c r="AA823" s="73">
        <v>823</v>
      </c>
      <c r="AB823" s="73"/>
      <c r="AC823" s="74"/>
      <c r="AD823" s="80" t="s">
        <v>2052</v>
      </c>
      <c r="AE823" s="80" t="s">
        <v>2975</v>
      </c>
      <c r="AF823" s="80"/>
      <c r="AG823" s="80" t="s">
        <v>4430</v>
      </c>
      <c r="AH823" s="80" t="s">
        <v>5376</v>
      </c>
      <c r="AI823" s="80">
        <v>420</v>
      </c>
      <c r="AJ823" s="80">
        <v>0</v>
      </c>
      <c r="AK823" s="80">
        <v>0</v>
      </c>
      <c r="AL823" s="80">
        <v>0</v>
      </c>
      <c r="AM823" s="80" t="s">
        <v>5614</v>
      </c>
      <c r="AN823" s="102" t="str">
        <f>HYPERLINK("https://www.youtube.com/watch?v=3av7pWrGyiE")</f>
        <v>https://www.youtube.com/watch?v=3av7pWrGyiE</v>
      </c>
      <c r="AO823" s="2"/>
      <c r="AP823" s="3"/>
      <c r="AQ823" s="3"/>
      <c r="AR823" s="3"/>
      <c r="AS823" s="3"/>
    </row>
    <row r="824" spans="1:45" ht="15">
      <c r="A824" s="66" t="s">
        <v>999</v>
      </c>
      <c r="B824" s="67"/>
      <c r="C824" s="67"/>
      <c r="D824" s="68"/>
      <c r="E824" s="70"/>
      <c r="F824" s="100" t="str">
        <f>HYPERLINK("https://i.ytimg.com/vi/aWOGAnxPmy0/default.jpg")</f>
        <v>https://i.ytimg.com/vi/aWOGAnxPmy0/default.jpg</v>
      </c>
      <c r="G824" s="67"/>
      <c r="H824" s="71"/>
      <c r="I824" s="72"/>
      <c r="J824" s="72"/>
      <c r="K824" s="71" t="s">
        <v>2053</v>
      </c>
      <c r="L824" s="75"/>
      <c r="M824" s="76">
        <v>5208.59716796875</v>
      </c>
      <c r="N824" s="76">
        <v>2377.148681640625</v>
      </c>
      <c r="O824" s="77"/>
      <c r="P824" s="78"/>
      <c r="Q824" s="78"/>
      <c r="R824" s="82"/>
      <c r="S824" s="82"/>
      <c r="T824" s="82"/>
      <c r="U824" s="82"/>
      <c r="V824" s="52"/>
      <c r="W824" s="52"/>
      <c r="X824" s="52"/>
      <c r="Y824" s="52"/>
      <c r="Z824" s="51"/>
      <c r="AA824" s="73">
        <v>824</v>
      </c>
      <c r="AB824" s="73"/>
      <c r="AC824" s="74"/>
      <c r="AD824" s="80" t="s">
        <v>2053</v>
      </c>
      <c r="AE824" s="80" t="s">
        <v>2976</v>
      </c>
      <c r="AF824" s="80" t="s">
        <v>3701</v>
      </c>
      <c r="AG824" s="80" t="s">
        <v>4431</v>
      </c>
      <c r="AH824" s="80" t="s">
        <v>5377</v>
      </c>
      <c r="AI824" s="80">
        <v>514562</v>
      </c>
      <c r="AJ824" s="80">
        <v>988</v>
      </c>
      <c r="AK824" s="80">
        <v>19234</v>
      </c>
      <c r="AL824" s="80">
        <v>439</v>
      </c>
      <c r="AM824" s="80" t="s">
        <v>5614</v>
      </c>
      <c r="AN824" s="102" t="str">
        <f>HYPERLINK("https://www.youtube.com/watch?v=aWOGAnxPmy0")</f>
        <v>https://www.youtube.com/watch?v=aWOGAnxPmy0</v>
      </c>
      <c r="AO824" s="2"/>
      <c r="AP824" s="3"/>
      <c r="AQ824" s="3"/>
      <c r="AR824" s="3"/>
      <c r="AS824" s="3"/>
    </row>
    <row r="825" spans="1:45" ht="15">
      <c r="A825" s="66" t="s">
        <v>1000</v>
      </c>
      <c r="B825" s="67"/>
      <c r="C825" s="67"/>
      <c r="D825" s="68"/>
      <c r="E825" s="70"/>
      <c r="F825" s="100" t="str">
        <f>HYPERLINK("https://i.ytimg.com/vi/7BK2FJGnmvs/default.jpg")</f>
        <v>https://i.ytimg.com/vi/7BK2FJGnmvs/default.jpg</v>
      </c>
      <c r="G825" s="67"/>
      <c r="H825" s="71"/>
      <c r="I825" s="72"/>
      <c r="J825" s="72"/>
      <c r="K825" s="71" t="s">
        <v>2054</v>
      </c>
      <c r="L825" s="75"/>
      <c r="M825" s="76">
        <v>4286.84130859375</v>
      </c>
      <c r="N825" s="76">
        <v>2772.195556640625</v>
      </c>
      <c r="O825" s="77"/>
      <c r="P825" s="78"/>
      <c r="Q825" s="78"/>
      <c r="R825" s="82"/>
      <c r="S825" s="82"/>
      <c r="T825" s="82"/>
      <c r="U825" s="82"/>
      <c r="V825" s="52"/>
      <c r="W825" s="52"/>
      <c r="X825" s="52"/>
      <c r="Y825" s="52"/>
      <c r="Z825" s="51"/>
      <c r="AA825" s="73">
        <v>825</v>
      </c>
      <c r="AB825" s="73"/>
      <c r="AC825" s="74"/>
      <c r="AD825" s="80" t="s">
        <v>2054</v>
      </c>
      <c r="AE825" s="80" t="s">
        <v>2977</v>
      </c>
      <c r="AF825" s="80" t="s">
        <v>3702</v>
      </c>
      <c r="AG825" s="80" t="s">
        <v>4432</v>
      </c>
      <c r="AH825" s="80" t="s">
        <v>5378</v>
      </c>
      <c r="AI825" s="80">
        <v>71557</v>
      </c>
      <c r="AJ825" s="80">
        <v>100</v>
      </c>
      <c r="AK825" s="80">
        <v>1395</v>
      </c>
      <c r="AL825" s="80">
        <v>55</v>
      </c>
      <c r="AM825" s="80" t="s">
        <v>5614</v>
      </c>
      <c r="AN825" s="102" t="str">
        <f>HYPERLINK("https://www.youtube.com/watch?v=7BK2FJGnmvs")</f>
        <v>https://www.youtube.com/watch?v=7BK2FJGnmvs</v>
      </c>
      <c r="AO825" s="2"/>
      <c r="AP825" s="3"/>
      <c r="AQ825" s="3"/>
      <c r="AR825" s="3"/>
      <c r="AS825" s="3"/>
    </row>
    <row r="826" spans="1:45" ht="15">
      <c r="A826" s="66" t="s">
        <v>1001</v>
      </c>
      <c r="B826" s="67"/>
      <c r="C826" s="67"/>
      <c r="D826" s="68"/>
      <c r="E826" s="70"/>
      <c r="F826" s="100" t="str">
        <f>HYPERLINK("https://i.ytimg.com/vi/Z0ihlPQkg8c/default.jpg")</f>
        <v>https://i.ytimg.com/vi/Z0ihlPQkg8c/default.jpg</v>
      </c>
      <c r="G826" s="67"/>
      <c r="H826" s="71"/>
      <c r="I826" s="72"/>
      <c r="J826" s="72"/>
      <c r="K826" s="71" t="s">
        <v>2055</v>
      </c>
      <c r="L826" s="75"/>
      <c r="M826" s="76">
        <v>4215.49169921875</v>
      </c>
      <c r="N826" s="76">
        <v>2852.857177734375</v>
      </c>
      <c r="O826" s="77"/>
      <c r="P826" s="78"/>
      <c r="Q826" s="78"/>
      <c r="R826" s="82"/>
      <c r="S826" s="82"/>
      <c r="T826" s="82"/>
      <c r="U826" s="82"/>
      <c r="V826" s="52"/>
      <c r="W826" s="52"/>
      <c r="X826" s="52"/>
      <c r="Y826" s="52"/>
      <c r="Z826" s="51"/>
      <c r="AA826" s="73">
        <v>826</v>
      </c>
      <c r="AB826" s="73"/>
      <c r="AC826" s="74"/>
      <c r="AD826" s="80" t="s">
        <v>2055</v>
      </c>
      <c r="AE826" s="80" t="s">
        <v>2978</v>
      </c>
      <c r="AF826" s="80" t="s">
        <v>3703</v>
      </c>
      <c r="AG826" s="80" t="s">
        <v>4350</v>
      </c>
      <c r="AH826" s="80" t="s">
        <v>5379</v>
      </c>
      <c r="AI826" s="80">
        <v>153242</v>
      </c>
      <c r="AJ826" s="80">
        <v>43</v>
      </c>
      <c r="AK826" s="80">
        <v>2413</v>
      </c>
      <c r="AL826" s="80">
        <v>124</v>
      </c>
      <c r="AM826" s="80" t="s">
        <v>5614</v>
      </c>
      <c r="AN826" s="102" t="str">
        <f>HYPERLINK("https://www.youtube.com/watch?v=Z0ihlPQkg8c")</f>
        <v>https://www.youtube.com/watch?v=Z0ihlPQkg8c</v>
      </c>
      <c r="AO826" s="2"/>
      <c r="AP826" s="3"/>
      <c r="AQ826" s="3"/>
      <c r="AR826" s="3"/>
      <c r="AS826" s="3"/>
    </row>
    <row r="827" spans="1:45" ht="15">
      <c r="A827" s="66" t="s">
        <v>1002</v>
      </c>
      <c r="B827" s="67"/>
      <c r="C827" s="67"/>
      <c r="D827" s="68"/>
      <c r="E827" s="70"/>
      <c r="F827" s="100" t="str">
        <f>HYPERLINK("https://i.ytimg.com/vi/39UZVsnxEEE/default.jpg")</f>
        <v>https://i.ytimg.com/vi/39UZVsnxEEE/default.jpg</v>
      </c>
      <c r="G827" s="67"/>
      <c r="H827" s="71"/>
      <c r="I827" s="72"/>
      <c r="J827" s="72"/>
      <c r="K827" s="71" t="s">
        <v>2056</v>
      </c>
      <c r="L827" s="75"/>
      <c r="M827" s="76">
        <v>5231.72216796875</v>
      </c>
      <c r="N827" s="76">
        <v>2391.71923828125</v>
      </c>
      <c r="O827" s="77"/>
      <c r="P827" s="78"/>
      <c r="Q827" s="78"/>
      <c r="R827" s="82"/>
      <c r="S827" s="82"/>
      <c r="T827" s="82"/>
      <c r="U827" s="82"/>
      <c r="V827" s="52"/>
      <c r="W827" s="52"/>
      <c r="X827" s="52"/>
      <c r="Y827" s="52"/>
      <c r="Z827" s="51"/>
      <c r="AA827" s="73">
        <v>827</v>
      </c>
      <c r="AB827" s="73"/>
      <c r="AC827" s="74"/>
      <c r="AD827" s="80" t="s">
        <v>2056</v>
      </c>
      <c r="AE827" s="80" t="s">
        <v>2979</v>
      </c>
      <c r="AF827" s="80" t="s">
        <v>3704</v>
      </c>
      <c r="AG827" s="80" t="s">
        <v>4433</v>
      </c>
      <c r="AH827" s="80" t="s">
        <v>5380</v>
      </c>
      <c r="AI827" s="80">
        <v>5235</v>
      </c>
      <c r="AJ827" s="80">
        <v>1</v>
      </c>
      <c r="AK827" s="80">
        <v>73</v>
      </c>
      <c r="AL827" s="80">
        <v>3</v>
      </c>
      <c r="AM827" s="80" t="s">
        <v>5614</v>
      </c>
      <c r="AN827" s="102" t="str">
        <f>HYPERLINK("https://www.youtube.com/watch?v=39UZVsnxEEE")</f>
        <v>https://www.youtube.com/watch?v=39UZVsnxEEE</v>
      </c>
      <c r="AO827" s="2"/>
      <c r="AP827" s="3"/>
      <c r="AQ827" s="3"/>
      <c r="AR827" s="3"/>
      <c r="AS827" s="3"/>
    </row>
    <row r="828" spans="1:45" ht="15">
      <c r="A828" s="66" t="s">
        <v>1003</v>
      </c>
      <c r="B828" s="67"/>
      <c r="C828" s="67"/>
      <c r="D828" s="68"/>
      <c r="E828" s="70"/>
      <c r="F828" s="100" t="str">
        <f>HYPERLINK("https://i.ytimg.com/vi/LrymUYA0ubE/default.jpg")</f>
        <v>https://i.ytimg.com/vi/LrymUYA0ubE/default.jpg</v>
      </c>
      <c r="G828" s="67"/>
      <c r="H828" s="71"/>
      <c r="I828" s="72"/>
      <c r="J828" s="72"/>
      <c r="K828" s="71" t="s">
        <v>2057</v>
      </c>
      <c r="L828" s="75"/>
      <c r="M828" s="76">
        <v>5135.75537109375</v>
      </c>
      <c r="N828" s="76">
        <v>2274.926513671875</v>
      </c>
      <c r="O828" s="77"/>
      <c r="P828" s="78"/>
      <c r="Q828" s="78"/>
      <c r="R828" s="82"/>
      <c r="S828" s="82"/>
      <c r="T828" s="82"/>
      <c r="U828" s="82"/>
      <c r="V828" s="52"/>
      <c r="W828" s="52"/>
      <c r="X828" s="52"/>
      <c r="Y828" s="52"/>
      <c r="Z828" s="51"/>
      <c r="AA828" s="73">
        <v>828</v>
      </c>
      <c r="AB828" s="73"/>
      <c r="AC828" s="74"/>
      <c r="AD828" s="80" t="s">
        <v>2057</v>
      </c>
      <c r="AE828" s="80" t="s">
        <v>2980</v>
      </c>
      <c r="AF828" s="80" t="s">
        <v>3705</v>
      </c>
      <c r="AG828" s="80" t="s">
        <v>4434</v>
      </c>
      <c r="AH828" s="80" t="s">
        <v>5381</v>
      </c>
      <c r="AI828" s="80">
        <v>405</v>
      </c>
      <c r="AJ828" s="80">
        <v>14</v>
      </c>
      <c r="AK828" s="80">
        <v>30</v>
      </c>
      <c r="AL828" s="80">
        <v>0</v>
      </c>
      <c r="AM828" s="80" t="s">
        <v>5614</v>
      </c>
      <c r="AN828" s="102" t="str">
        <f>HYPERLINK("https://www.youtube.com/watch?v=LrymUYA0ubE")</f>
        <v>https://www.youtube.com/watch?v=LrymUYA0ubE</v>
      </c>
      <c r="AO828" s="2"/>
      <c r="AP828" s="3"/>
      <c r="AQ828" s="3"/>
      <c r="AR828" s="3"/>
      <c r="AS828" s="3"/>
    </row>
    <row r="829" spans="1:45" ht="15">
      <c r="A829" s="66" t="s">
        <v>1004</v>
      </c>
      <c r="B829" s="67"/>
      <c r="C829" s="67"/>
      <c r="D829" s="68"/>
      <c r="E829" s="70"/>
      <c r="F829" s="100" t="str">
        <f>HYPERLINK("https://i.ytimg.com/vi/Wpx9rAXG0xE/default.jpg")</f>
        <v>https://i.ytimg.com/vi/Wpx9rAXG0xE/default.jpg</v>
      </c>
      <c r="G829" s="67"/>
      <c r="H829" s="71"/>
      <c r="I829" s="72"/>
      <c r="J829" s="72"/>
      <c r="K829" s="98" t="s">
        <v>2058</v>
      </c>
      <c r="L829" s="75"/>
      <c r="M829" s="76">
        <v>4299.04638671875</v>
      </c>
      <c r="N829" s="76">
        <v>2952.84619140625</v>
      </c>
      <c r="O829" s="77"/>
      <c r="P829" s="78"/>
      <c r="Q829" s="78"/>
      <c r="R829" s="82"/>
      <c r="S829" s="82"/>
      <c r="T829" s="82"/>
      <c r="U829" s="82"/>
      <c r="V829" s="52"/>
      <c r="W829" s="52"/>
      <c r="X829" s="52"/>
      <c r="Y829" s="52"/>
      <c r="Z829" s="51"/>
      <c r="AA829" s="73">
        <v>829</v>
      </c>
      <c r="AB829" s="73"/>
      <c r="AC829" s="74"/>
      <c r="AD829" s="99" t="s">
        <v>2058</v>
      </c>
      <c r="AE829" s="80" t="s">
        <v>2981</v>
      </c>
      <c r="AF829" s="80" t="s">
        <v>3706</v>
      </c>
      <c r="AG829" s="80" t="s">
        <v>4435</v>
      </c>
      <c r="AH829" s="80" t="s">
        <v>5382</v>
      </c>
      <c r="AI829" s="80">
        <v>4864</v>
      </c>
      <c r="AJ829" s="80">
        <v>3</v>
      </c>
      <c r="AK829" s="80">
        <v>55</v>
      </c>
      <c r="AL829" s="80">
        <v>4</v>
      </c>
      <c r="AM829" s="80" t="s">
        <v>5614</v>
      </c>
      <c r="AN829" s="102" t="str">
        <f>HYPERLINK("https://www.youtube.com/watch?v=Wpx9rAXG0xE")</f>
        <v>https://www.youtube.com/watch?v=Wpx9rAXG0xE</v>
      </c>
      <c r="AO829" s="2"/>
      <c r="AP829" s="3"/>
      <c r="AQ829" s="3"/>
      <c r="AR829" s="3"/>
      <c r="AS829" s="3"/>
    </row>
    <row r="830" spans="1:45" ht="15">
      <c r="A830" s="66" t="s">
        <v>1005</v>
      </c>
      <c r="B830" s="67"/>
      <c r="C830" s="67"/>
      <c r="D830" s="68"/>
      <c r="E830" s="70"/>
      <c r="F830" s="100" t="str">
        <f>HYPERLINK("https://i.ytimg.com/vi/bHaBgS5dYaQ/default.jpg")</f>
        <v>https://i.ytimg.com/vi/bHaBgS5dYaQ/default.jpg</v>
      </c>
      <c r="G830" s="67"/>
      <c r="H830" s="71"/>
      <c r="I830" s="72"/>
      <c r="J830" s="72"/>
      <c r="K830" s="71" t="s">
        <v>2059</v>
      </c>
      <c r="L830" s="75"/>
      <c r="M830" s="76">
        <v>5148.134765625</v>
      </c>
      <c r="N830" s="76">
        <v>2260.27783203125</v>
      </c>
      <c r="O830" s="77"/>
      <c r="P830" s="78"/>
      <c r="Q830" s="78"/>
      <c r="R830" s="82"/>
      <c r="S830" s="82"/>
      <c r="T830" s="82"/>
      <c r="U830" s="82"/>
      <c r="V830" s="52"/>
      <c r="W830" s="52"/>
      <c r="X830" s="52"/>
      <c r="Y830" s="52"/>
      <c r="Z830" s="51"/>
      <c r="AA830" s="73">
        <v>830</v>
      </c>
      <c r="AB830" s="73"/>
      <c r="AC830" s="74"/>
      <c r="AD830" s="80" t="s">
        <v>2059</v>
      </c>
      <c r="AE830" s="80" t="s">
        <v>2982</v>
      </c>
      <c r="AF830" s="80" t="s">
        <v>3707</v>
      </c>
      <c r="AG830" s="80" t="s">
        <v>4436</v>
      </c>
      <c r="AH830" s="80" t="s">
        <v>5383</v>
      </c>
      <c r="AI830" s="80">
        <v>155065</v>
      </c>
      <c r="AJ830" s="80">
        <v>162</v>
      </c>
      <c r="AK830" s="80">
        <v>2374</v>
      </c>
      <c r="AL830" s="80">
        <v>104</v>
      </c>
      <c r="AM830" s="80" t="s">
        <v>5614</v>
      </c>
      <c r="AN830" s="102" t="str">
        <f>HYPERLINK("https://www.youtube.com/watch?v=bHaBgS5dYaQ")</f>
        <v>https://www.youtube.com/watch?v=bHaBgS5dYaQ</v>
      </c>
      <c r="AO830" s="2"/>
      <c r="AP830" s="3"/>
      <c r="AQ830" s="3"/>
      <c r="AR830" s="3"/>
      <c r="AS830" s="3"/>
    </row>
    <row r="831" spans="1:45" ht="15">
      <c r="A831" s="66" t="s">
        <v>1006</v>
      </c>
      <c r="B831" s="67"/>
      <c r="C831" s="67"/>
      <c r="D831" s="68"/>
      <c r="E831" s="70"/>
      <c r="F831" s="100" t="str">
        <f>HYPERLINK("https://i.ytimg.com/vi/IL6GAe6EJXI/default.jpg")</f>
        <v>https://i.ytimg.com/vi/IL6GAe6EJXI/default.jpg</v>
      </c>
      <c r="G831" s="67"/>
      <c r="H831" s="71"/>
      <c r="I831" s="72"/>
      <c r="J831" s="72"/>
      <c r="K831" s="71" t="s">
        <v>2060</v>
      </c>
      <c r="L831" s="75"/>
      <c r="M831" s="76">
        <v>4622.36181640625</v>
      </c>
      <c r="N831" s="76">
        <v>2643.12255859375</v>
      </c>
      <c r="O831" s="77"/>
      <c r="P831" s="78"/>
      <c r="Q831" s="78"/>
      <c r="R831" s="82"/>
      <c r="S831" s="82"/>
      <c r="T831" s="82"/>
      <c r="U831" s="82"/>
      <c r="V831" s="52"/>
      <c r="W831" s="52"/>
      <c r="X831" s="52"/>
      <c r="Y831" s="52"/>
      <c r="Z831" s="51"/>
      <c r="AA831" s="73">
        <v>831</v>
      </c>
      <c r="AB831" s="73"/>
      <c r="AC831" s="74"/>
      <c r="AD831" s="80" t="s">
        <v>2060</v>
      </c>
      <c r="AE831" s="80" t="s">
        <v>2983</v>
      </c>
      <c r="AF831" s="80"/>
      <c r="AG831" s="80" t="s">
        <v>3885</v>
      </c>
      <c r="AH831" s="80" t="s">
        <v>5384</v>
      </c>
      <c r="AI831" s="80">
        <v>987</v>
      </c>
      <c r="AJ831" s="80">
        <v>8</v>
      </c>
      <c r="AK831" s="80">
        <v>73</v>
      </c>
      <c r="AL831" s="80">
        <v>1</v>
      </c>
      <c r="AM831" s="80" t="s">
        <v>5614</v>
      </c>
      <c r="AN831" s="102" t="str">
        <f>HYPERLINK("https://www.youtube.com/watch?v=IL6GAe6EJXI")</f>
        <v>https://www.youtube.com/watch?v=IL6GAe6EJXI</v>
      </c>
      <c r="AO831" s="2"/>
      <c r="AP831" s="3"/>
      <c r="AQ831" s="3"/>
      <c r="AR831" s="3"/>
      <c r="AS831" s="3"/>
    </row>
    <row r="832" spans="1:45" ht="15">
      <c r="A832" s="66" t="s">
        <v>1007</v>
      </c>
      <c r="B832" s="67"/>
      <c r="C832" s="67"/>
      <c r="D832" s="68"/>
      <c r="E832" s="70"/>
      <c r="F832" s="100" t="str">
        <f>HYPERLINK("https://i.ytimg.com/vi/5wiBSAeimb8/default.jpg")</f>
        <v>https://i.ytimg.com/vi/5wiBSAeimb8/default.jpg</v>
      </c>
      <c r="G832" s="67"/>
      <c r="H832" s="71"/>
      <c r="I832" s="72"/>
      <c r="J832" s="72"/>
      <c r="K832" s="71" t="s">
        <v>2061</v>
      </c>
      <c r="L832" s="75"/>
      <c r="M832" s="76">
        <v>4498.10791015625</v>
      </c>
      <c r="N832" s="76">
        <v>2436.642578125</v>
      </c>
      <c r="O832" s="77"/>
      <c r="P832" s="78"/>
      <c r="Q832" s="78"/>
      <c r="R832" s="82"/>
      <c r="S832" s="82"/>
      <c r="T832" s="82"/>
      <c r="U832" s="82"/>
      <c r="V832" s="52"/>
      <c r="W832" s="52"/>
      <c r="X832" s="52"/>
      <c r="Y832" s="52"/>
      <c r="Z832" s="51"/>
      <c r="AA832" s="73">
        <v>832</v>
      </c>
      <c r="AB832" s="73"/>
      <c r="AC832" s="74"/>
      <c r="AD832" s="80" t="s">
        <v>2061</v>
      </c>
      <c r="AE832" s="80"/>
      <c r="AF832" s="80"/>
      <c r="AG832" s="80" t="s">
        <v>3987</v>
      </c>
      <c r="AH832" s="80" t="s">
        <v>5385</v>
      </c>
      <c r="AI832" s="80">
        <v>140</v>
      </c>
      <c r="AJ832" s="80">
        <v>0</v>
      </c>
      <c r="AK832" s="80">
        <v>0</v>
      </c>
      <c r="AL832" s="80">
        <v>0</v>
      </c>
      <c r="AM832" s="80" t="s">
        <v>5614</v>
      </c>
      <c r="AN832" s="102" t="str">
        <f>HYPERLINK("https://www.youtube.com/watch?v=5wiBSAeimb8")</f>
        <v>https://www.youtube.com/watch?v=5wiBSAeimb8</v>
      </c>
      <c r="AO832" s="2"/>
      <c r="AP832" s="3"/>
      <c r="AQ832" s="3"/>
      <c r="AR832" s="3"/>
      <c r="AS832" s="3"/>
    </row>
    <row r="833" spans="1:45" ht="15">
      <c r="A833" s="66" t="s">
        <v>1008</v>
      </c>
      <c r="B833" s="67"/>
      <c r="C833" s="67"/>
      <c r="D833" s="68"/>
      <c r="E833" s="70"/>
      <c r="F833" s="100" t="str">
        <f>HYPERLINK("https://i.ytimg.com/vi/jcMPYTo-BHc/default.jpg")</f>
        <v>https://i.ytimg.com/vi/jcMPYTo-BHc/default.jpg</v>
      </c>
      <c r="G833" s="67"/>
      <c r="H833" s="71"/>
      <c r="I833" s="72"/>
      <c r="J833" s="72"/>
      <c r="K833" s="71" t="s">
        <v>2062</v>
      </c>
      <c r="L833" s="75"/>
      <c r="M833" s="76">
        <v>4977.9033203125</v>
      </c>
      <c r="N833" s="76">
        <v>2394.49951171875</v>
      </c>
      <c r="O833" s="77"/>
      <c r="P833" s="78"/>
      <c r="Q833" s="78"/>
      <c r="R833" s="82"/>
      <c r="S833" s="82"/>
      <c r="T833" s="82"/>
      <c r="U833" s="82"/>
      <c r="V833" s="52"/>
      <c r="W833" s="52"/>
      <c r="X833" s="52"/>
      <c r="Y833" s="52"/>
      <c r="Z833" s="51"/>
      <c r="AA833" s="73">
        <v>833</v>
      </c>
      <c r="AB833" s="73"/>
      <c r="AC833" s="74"/>
      <c r="AD833" s="80" t="s">
        <v>2062</v>
      </c>
      <c r="AE833" s="80" t="s">
        <v>2984</v>
      </c>
      <c r="AF833" s="80" t="s">
        <v>3708</v>
      </c>
      <c r="AG833" s="80" t="s">
        <v>4437</v>
      </c>
      <c r="AH833" s="80" t="s">
        <v>5386</v>
      </c>
      <c r="AI833" s="80">
        <v>120747</v>
      </c>
      <c r="AJ833" s="80">
        <v>34</v>
      </c>
      <c r="AK833" s="80">
        <v>1054</v>
      </c>
      <c r="AL833" s="80">
        <v>66</v>
      </c>
      <c r="AM833" s="80" t="s">
        <v>5614</v>
      </c>
      <c r="AN833" s="102" t="str">
        <f>HYPERLINK("https://www.youtube.com/watch?v=jcMPYTo-BHc")</f>
        <v>https://www.youtube.com/watch?v=jcMPYTo-BHc</v>
      </c>
      <c r="AO833" s="2"/>
      <c r="AP833" s="3"/>
      <c r="AQ833" s="3"/>
      <c r="AR833" s="3"/>
      <c r="AS833" s="3"/>
    </row>
    <row r="834" spans="1:45" ht="15">
      <c r="A834" s="66" t="s">
        <v>1009</v>
      </c>
      <c r="B834" s="67"/>
      <c r="C834" s="67"/>
      <c r="D834" s="68"/>
      <c r="E834" s="70"/>
      <c r="F834" s="100" t="str">
        <f>HYPERLINK("https://i.ytimg.com/vi/r7X66lVVkxo/default.jpg")</f>
        <v>https://i.ytimg.com/vi/r7X66lVVkxo/default.jpg</v>
      </c>
      <c r="G834" s="67"/>
      <c r="H834" s="71"/>
      <c r="I834" s="72"/>
      <c r="J834" s="72"/>
      <c r="K834" s="71" t="s">
        <v>2063</v>
      </c>
      <c r="L834" s="75"/>
      <c r="M834" s="76">
        <v>5352.1953125</v>
      </c>
      <c r="N834" s="76">
        <v>2363.008544921875</v>
      </c>
      <c r="O834" s="77"/>
      <c r="P834" s="78"/>
      <c r="Q834" s="78"/>
      <c r="R834" s="82"/>
      <c r="S834" s="82"/>
      <c r="T834" s="82"/>
      <c r="U834" s="82"/>
      <c r="V834" s="52"/>
      <c r="W834" s="52"/>
      <c r="X834" s="52"/>
      <c r="Y834" s="52"/>
      <c r="Z834" s="51"/>
      <c r="AA834" s="73">
        <v>834</v>
      </c>
      <c r="AB834" s="73"/>
      <c r="AC834" s="74"/>
      <c r="AD834" s="80" t="s">
        <v>2063</v>
      </c>
      <c r="AE834" s="80" t="s">
        <v>2985</v>
      </c>
      <c r="AF834" s="80" t="s">
        <v>3709</v>
      </c>
      <c r="AG834" s="80" t="s">
        <v>4438</v>
      </c>
      <c r="AH834" s="80" t="s">
        <v>5387</v>
      </c>
      <c r="AI834" s="80">
        <v>37128</v>
      </c>
      <c r="AJ834" s="80">
        <v>14</v>
      </c>
      <c r="AK834" s="80">
        <v>673</v>
      </c>
      <c r="AL834" s="80">
        <v>20</v>
      </c>
      <c r="AM834" s="80" t="s">
        <v>5614</v>
      </c>
      <c r="AN834" s="102" t="str">
        <f>HYPERLINK("https://www.youtube.com/watch?v=r7X66lVVkxo")</f>
        <v>https://www.youtube.com/watch?v=r7X66lVVkxo</v>
      </c>
      <c r="AO834" s="2"/>
      <c r="AP834" s="3"/>
      <c r="AQ834" s="3"/>
      <c r="AR834" s="3"/>
      <c r="AS834" s="3"/>
    </row>
    <row r="835" spans="1:45" ht="15">
      <c r="A835" s="66" t="s">
        <v>1010</v>
      </c>
      <c r="B835" s="67"/>
      <c r="C835" s="67"/>
      <c r="D835" s="68"/>
      <c r="E835" s="70"/>
      <c r="F835" s="100" t="str">
        <f>HYPERLINK("https://i.ytimg.com/vi/aGTmW7L-uXU/default.jpg")</f>
        <v>https://i.ytimg.com/vi/aGTmW7L-uXU/default.jpg</v>
      </c>
      <c r="G835" s="67"/>
      <c r="H835" s="71"/>
      <c r="I835" s="72"/>
      <c r="J835" s="72"/>
      <c r="K835" s="71" t="s">
        <v>2064</v>
      </c>
      <c r="L835" s="75"/>
      <c r="M835" s="76">
        <v>5192.4130859375</v>
      </c>
      <c r="N835" s="76">
        <v>2192.742431640625</v>
      </c>
      <c r="O835" s="77"/>
      <c r="P835" s="78"/>
      <c r="Q835" s="78"/>
      <c r="R835" s="82"/>
      <c r="S835" s="82"/>
      <c r="T835" s="82"/>
      <c r="U835" s="82"/>
      <c r="V835" s="52"/>
      <c r="W835" s="52"/>
      <c r="X835" s="52"/>
      <c r="Y835" s="52"/>
      <c r="Z835" s="51"/>
      <c r="AA835" s="73">
        <v>835</v>
      </c>
      <c r="AB835" s="73"/>
      <c r="AC835" s="74"/>
      <c r="AD835" s="80" t="s">
        <v>2064</v>
      </c>
      <c r="AE835" s="80" t="s">
        <v>2064</v>
      </c>
      <c r="AF835" s="80"/>
      <c r="AG835" s="80" t="s">
        <v>4439</v>
      </c>
      <c r="AH835" s="80" t="s">
        <v>5388</v>
      </c>
      <c r="AI835" s="80">
        <v>511</v>
      </c>
      <c r="AJ835" s="80">
        <v>0</v>
      </c>
      <c r="AK835" s="80">
        <v>16</v>
      </c>
      <c r="AL835" s="80">
        <v>1</v>
      </c>
      <c r="AM835" s="80" t="s">
        <v>5614</v>
      </c>
      <c r="AN835" s="102" t="str">
        <f>HYPERLINK("https://www.youtube.com/watch?v=aGTmW7L-uXU")</f>
        <v>https://www.youtube.com/watch?v=aGTmW7L-uXU</v>
      </c>
      <c r="AO835" s="2"/>
      <c r="AP835" s="3"/>
      <c r="AQ835" s="3"/>
      <c r="AR835" s="3"/>
      <c r="AS835" s="3"/>
    </row>
    <row r="836" spans="1:45" ht="15">
      <c r="A836" s="66" t="s">
        <v>1011</v>
      </c>
      <c r="B836" s="67"/>
      <c r="C836" s="67"/>
      <c r="D836" s="68"/>
      <c r="E836" s="70"/>
      <c r="F836" s="100" t="str">
        <f>HYPERLINK("https://i.ytimg.com/vi/YxlPJ3SpH7c/default.jpg")</f>
        <v>https://i.ytimg.com/vi/YxlPJ3SpH7c/default.jpg</v>
      </c>
      <c r="G836" s="67"/>
      <c r="H836" s="71"/>
      <c r="I836" s="72"/>
      <c r="J836" s="72"/>
      <c r="K836" s="71" t="s">
        <v>2065</v>
      </c>
      <c r="L836" s="75"/>
      <c r="M836" s="76">
        <v>4711.73681640625</v>
      </c>
      <c r="N836" s="76">
        <v>2603.3671875</v>
      </c>
      <c r="O836" s="77"/>
      <c r="P836" s="78"/>
      <c r="Q836" s="78"/>
      <c r="R836" s="82"/>
      <c r="S836" s="82"/>
      <c r="T836" s="82"/>
      <c r="U836" s="82"/>
      <c r="V836" s="52"/>
      <c r="W836" s="52"/>
      <c r="X836" s="52"/>
      <c r="Y836" s="52"/>
      <c r="Z836" s="51"/>
      <c r="AA836" s="73">
        <v>836</v>
      </c>
      <c r="AB836" s="73"/>
      <c r="AC836" s="74"/>
      <c r="AD836" s="80" t="s">
        <v>2065</v>
      </c>
      <c r="AE836" s="80" t="s">
        <v>2986</v>
      </c>
      <c r="AF836" s="80" t="s">
        <v>3710</v>
      </c>
      <c r="AG836" s="80" t="s">
        <v>4440</v>
      </c>
      <c r="AH836" s="80" t="s">
        <v>5389</v>
      </c>
      <c r="AI836" s="80">
        <v>11008</v>
      </c>
      <c r="AJ836" s="80">
        <v>5</v>
      </c>
      <c r="AK836" s="80">
        <v>134</v>
      </c>
      <c r="AL836" s="80">
        <v>3</v>
      </c>
      <c r="AM836" s="80" t="s">
        <v>5614</v>
      </c>
      <c r="AN836" s="102" t="str">
        <f>HYPERLINK("https://www.youtube.com/watch?v=YxlPJ3SpH7c")</f>
        <v>https://www.youtube.com/watch?v=YxlPJ3SpH7c</v>
      </c>
      <c r="AO836" s="2"/>
      <c r="AP836" s="3"/>
      <c r="AQ836" s="3"/>
      <c r="AR836" s="3"/>
      <c r="AS836" s="3"/>
    </row>
    <row r="837" spans="1:45" ht="15">
      <c r="A837" s="66" t="s">
        <v>1012</v>
      </c>
      <c r="B837" s="67"/>
      <c r="C837" s="67"/>
      <c r="D837" s="68"/>
      <c r="E837" s="70"/>
      <c r="F837" s="100" t="str">
        <f>HYPERLINK("https://i.ytimg.com/vi/iD7nMcMFMto/default.jpg")</f>
        <v>https://i.ytimg.com/vi/iD7nMcMFMto/default.jpg</v>
      </c>
      <c r="G837" s="67"/>
      <c r="H837" s="71"/>
      <c r="I837" s="72"/>
      <c r="J837" s="72"/>
      <c r="K837" s="71" t="s">
        <v>2066</v>
      </c>
      <c r="L837" s="75"/>
      <c r="M837" s="76">
        <v>4483.24560546875</v>
      </c>
      <c r="N837" s="76">
        <v>2604.285888671875</v>
      </c>
      <c r="O837" s="77"/>
      <c r="P837" s="78"/>
      <c r="Q837" s="78"/>
      <c r="R837" s="82"/>
      <c r="S837" s="82"/>
      <c r="T837" s="82"/>
      <c r="U837" s="82"/>
      <c r="V837" s="52"/>
      <c r="W837" s="52"/>
      <c r="X837" s="52"/>
      <c r="Y837" s="52"/>
      <c r="Z837" s="51"/>
      <c r="AA837" s="73">
        <v>837</v>
      </c>
      <c r="AB837" s="73"/>
      <c r="AC837" s="74"/>
      <c r="AD837" s="80" t="s">
        <v>2066</v>
      </c>
      <c r="AE837" s="80" t="s">
        <v>2987</v>
      </c>
      <c r="AF837" s="80" t="s">
        <v>3711</v>
      </c>
      <c r="AG837" s="80" t="s">
        <v>4044</v>
      </c>
      <c r="AH837" s="80" t="s">
        <v>5390</v>
      </c>
      <c r="AI837" s="80">
        <v>2761201</v>
      </c>
      <c r="AJ837" s="80">
        <v>1549</v>
      </c>
      <c r="AK837" s="80">
        <v>55863</v>
      </c>
      <c r="AL837" s="80">
        <v>3290</v>
      </c>
      <c r="AM837" s="80" t="s">
        <v>5614</v>
      </c>
      <c r="AN837" s="102" t="str">
        <f>HYPERLINK("https://www.youtube.com/watch?v=iD7nMcMFMto")</f>
        <v>https://www.youtube.com/watch?v=iD7nMcMFMto</v>
      </c>
      <c r="AO837" s="2"/>
      <c r="AP837" s="3"/>
      <c r="AQ837" s="3"/>
      <c r="AR837" s="3"/>
      <c r="AS837" s="3"/>
    </row>
    <row r="838" spans="1:45" ht="15">
      <c r="A838" s="66" t="s">
        <v>1013</v>
      </c>
      <c r="B838" s="67"/>
      <c r="C838" s="67"/>
      <c r="D838" s="68"/>
      <c r="E838" s="70"/>
      <c r="F838" s="100" t="str">
        <f>HYPERLINK("https://i.ytimg.com/vi/RlMWViJPEfQ/default.jpg")</f>
        <v>https://i.ytimg.com/vi/RlMWViJPEfQ/default.jpg</v>
      </c>
      <c r="G838" s="67"/>
      <c r="H838" s="71"/>
      <c r="I838" s="72"/>
      <c r="J838" s="72"/>
      <c r="K838" s="71" t="s">
        <v>2067</v>
      </c>
      <c r="L838" s="75"/>
      <c r="M838" s="76">
        <v>4835.37353515625</v>
      </c>
      <c r="N838" s="76">
        <v>2467.6953125</v>
      </c>
      <c r="O838" s="77"/>
      <c r="P838" s="78"/>
      <c r="Q838" s="78"/>
      <c r="R838" s="82"/>
      <c r="S838" s="82"/>
      <c r="T838" s="82"/>
      <c r="U838" s="82"/>
      <c r="V838" s="52"/>
      <c r="W838" s="52"/>
      <c r="X838" s="52"/>
      <c r="Y838" s="52"/>
      <c r="Z838" s="51"/>
      <c r="AA838" s="73">
        <v>838</v>
      </c>
      <c r="AB838" s="73"/>
      <c r="AC838" s="74"/>
      <c r="AD838" s="80" t="s">
        <v>2067</v>
      </c>
      <c r="AE838" s="80" t="s">
        <v>2988</v>
      </c>
      <c r="AF838" s="80" t="s">
        <v>3712</v>
      </c>
      <c r="AG838" s="80" t="s">
        <v>4441</v>
      </c>
      <c r="AH838" s="80" t="s">
        <v>5391</v>
      </c>
      <c r="AI838" s="80">
        <v>100789</v>
      </c>
      <c r="AJ838" s="80">
        <v>0</v>
      </c>
      <c r="AK838" s="80">
        <v>2900</v>
      </c>
      <c r="AL838" s="80">
        <v>202</v>
      </c>
      <c r="AM838" s="80" t="s">
        <v>5614</v>
      </c>
      <c r="AN838" s="102" t="str">
        <f>HYPERLINK("https://www.youtube.com/watch?v=RlMWViJPEfQ")</f>
        <v>https://www.youtube.com/watch?v=RlMWViJPEfQ</v>
      </c>
      <c r="AO838" s="2"/>
      <c r="AP838" s="3"/>
      <c r="AQ838" s="3"/>
      <c r="AR838" s="3"/>
      <c r="AS838" s="3"/>
    </row>
    <row r="839" spans="1:45" ht="15">
      <c r="A839" s="66" t="s">
        <v>1014</v>
      </c>
      <c r="B839" s="67"/>
      <c r="C839" s="67"/>
      <c r="D839" s="68"/>
      <c r="E839" s="70"/>
      <c r="F839" s="100" t="str">
        <f>HYPERLINK("https://i.ytimg.com/vi/ubd34kwmLC4/default.jpg")</f>
        <v>https://i.ytimg.com/vi/ubd34kwmLC4/default.jpg</v>
      </c>
      <c r="G839" s="67"/>
      <c r="H839" s="71"/>
      <c r="I839" s="72"/>
      <c r="J839" s="72"/>
      <c r="K839" s="71" t="s">
        <v>2068</v>
      </c>
      <c r="L839" s="75"/>
      <c r="M839" s="76">
        <v>4619.54833984375</v>
      </c>
      <c r="N839" s="76">
        <v>2318.833740234375</v>
      </c>
      <c r="O839" s="77"/>
      <c r="P839" s="78"/>
      <c r="Q839" s="78"/>
      <c r="R839" s="82"/>
      <c r="S839" s="82"/>
      <c r="T839" s="82"/>
      <c r="U839" s="82"/>
      <c r="V839" s="52"/>
      <c r="W839" s="52"/>
      <c r="X839" s="52"/>
      <c r="Y839" s="52"/>
      <c r="Z839" s="51"/>
      <c r="AA839" s="73">
        <v>839</v>
      </c>
      <c r="AB839" s="73"/>
      <c r="AC839" s="74"/>
      <c r="AD839" s="80" t="s">
        <v>2068</v>
      </c>
      <c r="AE839" s="80"/>
      <c r="AF839" s="80"/>
      <c r="AG839" s="80" t="s">
        <v>3987</v>
      </c>
      <c r="AH839" s="80" t="s">
        <v>5392</v>
      </c>
      <c r="AI839" s="80">
        <v>188</v>
      </c>
      <c r="AJ839" s="80">
        <v>0</v>
      </c>
      <c r="AK839" s="80">
        <v>0</v>
      </c>
      <c r="AL839" s="80">
        <v>0</v>
      </c>
      <c r="AM839" s="80" t="s">
        <v>5614</v>
      </c>
      <c r="AN839" s="102" t="str">
        <f>HYPERLINK("https://www.youtube.com/watch?v=ubd34kwmLC4")</f>
        <v>https://www.youtube.com/watch?v=ubd34kwmLC4</v>
      </c>
      <c r="AO839" s="2"/>
      <c r="AP839" s="3"/>
      <c r="AQ839" s="3"/>
      <c r="AR839" s="3"/>
      <c r="AS839" s="3"/>
    </row>
    <row r="840" spans="1:45" ht="15">
      <c r="A840" s="66" t="s">
        <v>1015</v>
      </c>
      <c r="B840" s="67"/>
      <c r="C840" s="67"/>
      <c r="D840" s="68"/>
      <c r="E840" s="70"/>
      <c r="F840" s="100" t="str">
        <f>HYPERLINK("https://i.ytimg.com/vi/0h3mlHWDWeQ/default.jpg")</f>
        <v>https://i.ytimg.com/vi/0h3mlHWDWeQ/default.jpg</v>
      </c>
      <c r="G840" s="67"/>
      <c r="H840" s="71"/>
      <c r="I840" s="72"/>
      <c r="J840" s="72"/>
      <c r="K840" s="71" t="s">
        <v>2069</v>
      </c>
      <c r="L840" s="75"/>
      <c r="M840" s="76">
        <v>4534.94873046875</v>
      </c>
      <c r="N840" s="76">
        <v>2621.106201171875</v>
      </c>
      <c r="O840" s="77"/>
      <c r="P840" s="78"/>
      <c r="Q840" s="78"/>
      <c r="R840" s="82"/>
      <c r="S840" s="82"/>
      <c r="T840" s="82"/>
      <c r="U840" s="82"/>
      <c r="V840" s="52"/>
      <c r="W840" s="52"/>
      <c r="X840" s="52"/>
      <c r="Y840" s="52"/>
      <c r="Z840" s="51"/>
      <c r="AA840" s="73">
        <v>840</v>
      </c>
      <c r="AB840" s="73"/>
      <c r="AC840" s="74"/>
      <c r="AD840" s="80" t="s">
        <v>2069</v>
      </c>
      <c r="AE840" s="80" t="s">
        <v>2989</v>
      </c>
      <c r="AF840" s="80" t="s">
        <v>3713</v>
      </c>
      <c r="AG840" s="80" t="s">
        <v>4308</v>
      </c>
      <c r="AH840" s="80" t="s">
        <v>5393</v>
      </c>
      <c r="AI840" s="80">
        <v>48935</v>
      </c>
      <c r="AJ840" s="80">
        <v>6</v>
      </c>
      <c r="AK840" s="80">
        <v>291</v>
      </c>
      <c r="AL840" s="80">
        <v>9</v>
      </c>
      <c r="AM840" s="80" t="s">
        <v>5614</v>
      </c>
      <c r="AN840" s="102" t="str">
        <f>HYPERLINK("https://www.youtube.com/watch?v=0h3mlHWDWeQ")</f>
        <v>https://www.youtube.com/watch?v=0h3mlHWDWeQ</v>
      </c>
      <c r="AO840" s="2"/>
      <c r="AP840" s="3"/>
      <c r="AQ840" s="3"/>
      <c r="AR840" s="3"/>
      <c r="AS840" s="3"/>
    </row>
    <row r="841" spans="1:45" ht="15">
      <c r="A841" s="66" t="s">
        <v>1016</v>
      </c>
      <c r="B841" s="67"/>
      <c r="C841" s="67"/>
      <c r="D841" s="68"/>
      <c r="E841" s="70"/>
      <c r="F841" s="100" t="str">
        <f>HYPERLINK("https://i.ytimg.com/vi/4ELaosIe9aE/default.jpg")</f>
        <v>https://i.ytimg.com/vi/4ELaosIe9aE/default.jpg</v>
      </c>
      <c r="G841" s="67"/>
      <c r="H841" s="71"/>
      <c r="I841" s="72"/>
      <c r="J841" s="72"/>
      <c r="K841" s="71" t="s">
        <v>2070</v>
      </c>
      <c r="L841" s="75"/>
      <c r="M841" s="76">
        <v>4398.3095703125</v>
      </c>
      <c r="N841" s="76">
        <v>2917.537841796875</v>
      </c>
      <c r="O841" s="77"/>
      <c r="P841" s="78"/>
      <c r="Q841" s="78"/>
      <c r="R841" s="82"/>
      <c r="S841" s="82"/>
      <c r="T841" s="82"/>
      <c r="U841" s="82"/>
      <c r="V841" s="52"/>
      <c r="W841" s="52"/>
      <c r="X841" s="52"/>
      <c r="Y841" s="52"/>
      <c r="Z841" s="51"/>
      <c r="AA841" s="73">
        <v>841</v>
      </c>
      <c r="AB841" s="73"/>
      <c r="AC841" s="74"/>
      <c r="AD841" s="80" t="s">
        <v>2070</v>
      </c>
      <c r="AE841" s="80" t="s">
        <v>2990</v>
      </c>
      <c r="AF841" s="80" t="s">
        <v>3714</v>
      </c>
      <c r="AG841" s="80" t="s">
        <v>4442</v>
      </c>
      <c r="AH841" s="80" t="s">
        <v>5394</v>
      </c>
      <c r="AI841" s="80">
        <v>104964</v>
      </c>
      <c r="AJ841" s="80">
        <v>180</v>
      </c>
      <c r="AK841" s="80">
        <v>3290</v>
      </c>
      <c r="AL841" s="80">
        <v>74</v>
      </c>
      <c r="AM841" s="80" t="s">
        <v>5614</v>
      </c>
      <c r="AN841" s="102" t="str">
        <f>HYPERLINK("https://www.youtube.com/watch?v=4ELaosIe9aE")</f>
        <v>https://www.youtube.com/watch?v=4ELaosIe9aE</v>
      </c>
      <c r="AO841" s="2"/>
      <c r="AP841" s="3"/>
      <c r="AQ841" s="3"/>
      <c r="AR841" s="3"/>
      <c r="AS841" s="3"/>
    </row>
    <row r="842" spans="1:45" ht="15">
      <c r="A842" s="66" t="s">
        <v>1017</v>
      </c>
      <c r="B842" s="67"/>
      <c r="C842" s="67"/>
      <c r="D842" s="68"/>
      <c r="E842" s="70"/>
      <c r="F842" s="100" t="str">
        <f>HYPERLINK("https://i.ytimg.com/vi/0tvHJ5L8i44/default.jpg")</f>
        <v>https://i.ytimg.com/vi/0tvHJ5L8i44/default.jpg</v>
      </c>
      <c r="G842" s="67"/>
      <c r="H842" s="71"/>
      <c r="I842" s="72"/>
      <c r="J842" s="72"/>
      <c r="K842" s="71" t="s">
        <v>2071</v>
      </c>
      <c r="L842" s="75"/>
      <c r="M842" s="76">
        <v>4379.9716796875</v>
      </c>
      <c r="N842" s="76">
        <v>2797.2275390625</v>
      </c>
      <c r="O842" s="77"/>
      <c r="P842" s="78"/>
      <c r="Q842" s="78"/>
      <c r="R842" s="82"/>
      <c r="S842" s="82"/>
      <c r="T842" s="82"/>
      <c r="U842" s="82"/>
      <c r="V842" s="52"/>
      <c r="W842" s="52"/>
      <c r="X842" s="52"/>
      <c r="Y842" s="52"/>
      <c r="Z842" s="51"/>
      <c r="AA842" s="73">
        <v>842</v>
      </c>
      <c r="AB842" s="73"/>
      <c r="AC842" s="74"/>
      <c r="AD842" s="80" t="s">
        <v>2071</v>
      </c>
      <c r="AE842" s="80" t="s">
        <v>2991</v>
      </c>
      <c r="AF842" s="80" t="s">
        <v>3715</v>
      </c>
      <c r="AG842" s="80" t="s">
        <v>3987</v>
      </c>
      <c r="AH842" s="80" t="s">
        <v>5395</v>
      </c>
      <c r="AI842" s="80">
        <v>4315</v>
      </c>
      <c r="AJ842" s="80">
        <v>0</v>
      </c>
      <c r="AK842" s="80">
        <v>0</v>
      </c>
      <c r="AL842" s="80">
        <v>0</v>
      </c>
      <c r="AM842" s="80" t="s">
        <v>5614</v>
      </c>
      <c r="AN842" s="102" t="str">
        <f>HYPERLINK("https://www.youtube.com/watch?v=0tvHJ5L8i44")</f>
        <v>https://www.youtube.com/watch?v=0tvHJ5L8i44</v>
      </c>
      <c r="AO842" s="2"/>
      <c r="AP842" s="3"/>
      <c r="AQ842" s="3"/>
      <c r="AR842" s="3"/>
      <c r="AS842" s="3"/>
    </row>
    <row r="843" spans="1:45" ht="15">
      <c r="A843" s="66" t="s">
        <v>1018</v>
      </c>
      <c r="B843" s="67"/>
      <c r="C843" s="67"/>
      <c r="D843" s="68"/>
      <c r="E843" s="70"/>
      <c r="F843" s="100" t="str">
        <f>HYPERLINK("https://i.ytimg.com/vi/Xd8mH_a0OSQ/default.jpg")</f>
        <v>https://i.ytimg.com/vi/Xd8mH_a0OSQ/default.jpg</v>
      </c>
      <c r="G843" s="67"/>
      <c r="H843" s="71"/>
      <c r="I843" s="72"/>
      <c r="J843" s="72"/>
      <c r="K843" s="71" t="s">
        <v>2072</v>
      </c>
      <c r="L843" s="75"/>
      <c r="M843" s="76">
        <v>4679.9140625</v>
      </c>
      <c r="N843" s="76">
        <v>3599.612548828125</v>
      </c>
      <c r="O843" s="77"/>
      <c r="P843" s="78"/>
      <c r="Q843" s="78"/>
      <c r="R843" s="82"/>
      <c r="S843" s="82"/>
      <c r="T843" s="82"/>
      <c r="U843" s="82"/>
      <c r="V843" s="52"/>
      <c r="W843" s="52"/>
      <c r="X843" s="52"/>
      <c r="Y843" s="52"/>
      <c r="Z843" s="51"/>
      <c r="AA843" s="73">
        <v>843</v>
      </c>
      <c r="AB843" s="73"/>
      <c r="AC843" s="74"/>
      <c r="AD843" s="80" t="s">
        <v>2072</v>
      </c>
      <c r="AE843" s="80" t="s">
        <v>2992</v>
      </c>
      <c r="AF843" s="80" t="s">
        <v>3716</v>
      </c>
      <c r="AG843" s="80" t="s">
        <v>4231</v>
      </c>
      <c r="AH843" s="80" t="s">
        <v>5396</v>
      </c>
      <c r="AI843" s="80">
        <v>459922</v>
      </c>
      <c r="AJ843" s="80">
        <v>68</v>
      </c>
      <c r="AK843" s="80">
        <v>2736</v>
      </c>
      <c r="AL843" s="80">
        <v>283</v>
      </c>
      <c r="AM843" s="80" t="s">
        <v>5614</v>
      </c>
      <c r="AN843" s="102" t="str">
        <f>HYPERLINK("https://www.youtube.com/watch?v=Xd8mH_a0OSQ")</f>
        <v>https://www.youtube.com/watch?v=Xd8mH_a0OSQ</v>
      </c>
      <c r="AO843" s="2"/>
      <c r="AP843" s="3"/>
      <c r="AQ843" s="3"/>
      <c r="AR843" s="3"/>
      <c r="AS843" s="3"/>
    </row>
    <row r="844" spans="1:45" ht="15">
      <c r="A844" s="66" t="s">
        <v>1019</v>
      </c>
      <c r="B844" s="67"/>
      <c r="C844" s="67"/>
      <c r="D844" s="68"/>
      <c r="E844" s="70"/>
      <c r="F844" s="100" t="str">
        <f>HYPERLINK("https://i.ytimg.com/vi/N9irl60bduk/default.jpg")</f>
        <v>https://i.ytimg.com/vi/N9irl60bduk/default.jpg</v>
      </c>
      <c r="G844" s="67"/>
      <c r="H844" s="71"/>
      <c r="I844" s="72"/>
      <c r="J844" s="72"/>
      <c r="K844" s="71" t="s">
        <v>2073</v>
      </c>
      <c r="L844" s="75"/>
      <c r="M844" s="76">
        <v>5345.875</v>
      </c>
      <c r="N844" s="76">
        <v>2245.32421875</v>
      </c>
      <c r="O844" s="77"/>
      <c r="P844" s="78"/>
      <c r="Q844" s="78"/>
      <c r="R844" s="82"/>
      <c r="S844" s="82"/>
      <c r="T844" s="82"/>
      <c r="U844" s="82"/>
      <c r="V844" s="52"/>
      <c r="W844" s="52"/>
      <c r="X844" s="52"/>
      <c r="Y844" s="52"/>
      <c r="Z844" s="51"/>
      <c r="AA844" s="73">
        <v>844</v>
      </c>
      <c r="AB844" s="73"/>
      <c r="AC844" s="74"/>
      <c r="AD844" s="80" t="s">
        <v>2073</v>
      </c>
      <c r="AE844" s="80" t="s">
        <v>2993</v>
      </c>
      <c r="AF844" s="80" t="s">
        <v>3717</v>
      </c>
      <c r="AG844" s="80" t="s">
        <v>4443</v>
      </c>
      <c r="AH844" s="80" t="s">
        <v>5397</v>
      </c>
      <c r="AI844" s="80">
        <v>28823810</v>
      </c>
      <c r="AJ844" s="80">
        <v>623</v>
      </c>
      <c r="AK844" s="80">
        <v>144621</v>
      </c>
      <c r="AL844" s="80">
        <v>43398</v>
      </c>
      <c r="AM844" s="80" t="s">
        <v>5614</v>
      </c>
      <c r="AN844" s="102" t="str">
        <f>HYPERLINK("https://www.youtube.com/watch?v=N9irl60bduk")</f>
        <v>https://www.youtube.com/watch?v=N9irl60bduk</v>
      </c>
      <c r="AO844" s="2"/>
      <c r="AP844" s="3"/>
      <c r="AQ844" s="3"/>
      <c r="AR844" s="3"/>
      <c r="AS844" s="3"/>
    </row>
    <row r="845" spans="1:45" ht="15">
      <c r="A845" s="66" t="s">
        <v>1020</v>
      </c>
      <c r="B845" s="67"/>
      <c r="C845" s="67"/>
      <c r="D845" s="68"/>
      <c r="E845" s="70"/>
      <c r="F845" s="100" t="str">
        <f>HYPERLINK("https://i.ytimg.com/vi/yl0IJZO-BK0/default.jpg")</f>
        <v>https://i.ytimg.com/vi/yl0IJZO-BK0/default.jpg</v>
      </c>
      <c r="G845" s="67"/>
      <c r="H845" s="71"/>
      <c r="I845" s="72"/>
      <c r="J845" s="72"/>
      <c r="K845" s="71" t="s">
        <v>2074</v>
      </c>
      <c r="L845" s="75"/>
      <c r="M845" s="76">
        <v>4246.1328125</v>
      </c>
      <c r="N845" s="76">
        <v>2737.364013671875</v>
      </c>
      <c r="O845" s="77"/>
      <c r="P845" s="78"/>
      <c r="Q845" s="78"/>
      <c r="R845" s="82"/>
      <c r="S845" s="82"/>
      <c r="T845" s="82"/>
      <c r="U845" s="82"/>
      <c r="V845" s="52"/>
      <c r="W845" s="52"/>
      <c r="X845" s="52"/>
      <c r="Y845" s="52"/>
      <c r="Z845" s="51"/>
      <c r="AA845" s="73">
        <v>845</v>
      </c>
      <c r="AB845" s="73"/>
      <c r="AC845" s="74"/>
      <c r="AD845" s="80" t="s">
        <v>2074</v>
      </c>
      <c r="AE845" s="80" t="s">
        <v>2994</v>
      </c>
      <c r="AF845" s="80" t="s">
        <v>3718</v>
      </c>
      <c r="AG845" s="80" t="s">
        <v>4444</v>
      </c>
      <c r="AH845" s="80" t="s">
        <v>5398</v>
      </c>
      <c r="AI845" s="80">
        <v>1519969</v>
      </c>
      <c r="AJ845" s="80">
        <v>2023</v>
      </c>
      <c r="AK845" s="80">
        <v>99262</v>
      </c>
      <c r="AL845" s="80">
        <v>1264</v>
      </c>
      <c r="AM845" s="80" t="s">
        <v>5614</v>
      </c>
      <c r="AN845" s="102" t="str">
        <f>HYPERLINK("https://www.youtube.com/watch?v=yl0IJZO-BK0")</f>
        <v>https://www.youtube.com/watch?v=yl0IJZO-BK0</v>
      </c>
      <c r="AO845" s="2"/>
      <c r="AP845" s="3"/>
      <c r="AQ845" s="3"/>
      <c r="AR845" s="3"/>
      <c r="AS845" s="3"/>
    </row>
    <row r="846" spans="1:45" ht="15">
      <c r="A846" s="66" t="s">
        <v>1021</v>
      </c>
      <c r="B846" s="67"/>
      <c r="C846" s="67"/>
      <c r="D846" s="68"/>
      <c r="E846" s="70"/>
      <c r="F846" s="100" t="str">
        <f>HYPERLINK("https://i.ytimg.com/vi/2w1RxW-lYV0/default.jpg")</f>
        <v>https://i.ytimg.com/vi/2w1RxW-lYV0/default.jpg</v>
      </c>
      <c r="G846" s="67"/>
      <c r="H846" s="71"/>
      <c r="I846" s="72"/>
      <c r="J846" s="72"/>
      <c r="K846" s="71" t="s">
        <v>2075</v>
      </c>
      <c r="L846" s="75"/>
      <c r="M846" s="76">
        <v>5095.98095703125</v>
      </c>
      <c r="N846" s="76">
        <v>2408.3564453125</v>
      </c>
      <c r="O846" s="77"/>
      <c r="P846" s="78"/>
      <c r="Q846" s="78"/>
      <c r="R846" s="82"/>
      <c r="S846" s="82"/>
      <c r="T846" s="82"/>
      <c r="U846" s="82"/>
      <c r="V846" s="52"/>
      <c r="W846" s="52"/>
      <c r="X846" s="52"/>
      <c r="Y846" s="52"/>
      <c r="Z846" s="51"/>
      <c r="AA846" s="73">
        <v>846</v>
      </c>
      <c r="AB846" s="73"/>
      <c r="AC846" s="74"/>
      <c r="AD846" s="80" t="s">
        <v>2075</v>
      </c>
      <c r="AE846" s="80" t="s">
        <v>2746</v>
      </c>
      <c r="AF846" s="80" t="s">
        <v>3719</v>
      </c>
      <c r="AG846" s="80" t="s">
        <v>3987</v>
      </c>
      <c r="AH846" s="80" t="s">
        <v>5399</v>
      </c>
      <c r="AI846" s="80">
        <v>7813</v>
      </c>
      <c r="AJ846" s="80">
        <v>0</v>
      </c>
      <c r="AK846" s="80">
        <v>0</v>
      </c>
      <c r="AL846" s="80">
        <v>0</v>
      </c>
      <c r="AM846" s="80" t="s">
        <v>5614</v>
      </c>
      <c r="AN846" s="102" t="str">
        <f>HYPERLINK("https://www.youtube.com/watch?v=2w1RxW-lYV0")</f>
        <v>https://www.youtube.com/watch?v=2w1RxW-lYV0</v>
      </c>
      <c r="AO846" s="2"/>
      <c r="AP846" s="3"/>
      <c r="AQ846" s="3"/>
      <c r="AR846" s="3"/>
      <c r="AS846" s="3"/>
    </row>
    <row r="847" spans="1:45" ht="15">
      <c r="A847" s="66" t="s">
        <v>1022</v>
      </c>
      <c r="B847" s="67"/>
      <c r="C847" s="67"/>
      <c r="D847" s="68"/>
      <c r="E847" s="70"/>
      <c r="F847" s="100" t="str">
        <f>HYPERLINK("https://i.ytimg.com/vi/fyLsEcRhyVo/default.jpg")</f>
        <v>https://i.ytimg.com/vi/fyLsEcRhyVo/default.jpg</v>
      </c>
      <c r="G847" s="67"/>
      <c r="H847" s="71"/>
      <c r="I847" s="72"/>
      <c r="J847" s="72"/>
      <c r="K847" s="71" t="s">
        <v>2076</v>
      </c>
      <c r="L847" s="75"/>
      <c r="M847" s="76">
        <v>4880.8251953125</v>
      </c>
      <c r="N847" s="76">
        <v>2461.5400390625</v>
      </c>
      <c r="O847" s="77"/>
      <c r="P847" s="78"/>
      <c r="Q847" s="78"/>
      <c r="R847" s="82"/>
      <c r="S847" s="82"/>
      <c r="T847" s="82"/>
      <c r="U847" s="82"/>
      <c r="V847" s="52"/>
      <c r="W847" s="52"/>
      <c r="X847" s="52"/>
      <c r="Y847" s="52"/>
      <c r="Z847" s="51"/>
      <c r="AA847" s="73">
        <v>847</v>
      </c>
      <c r="AB847" s="73"/>
      <c r="AC847" s="74"/>
      <c r="AD847" s="80" t="s">
        <v>2076</v>
      </c>
      <c r="AE847" s="80" t="s">
        <v>2995</v>
      </c>
      <c r="AF847" s="80" t="s">
        <v>3720</v>
      </c>
      <c r="AG847" s="80" t="s">
        <v>4443</v>
      </c>
      <c r="AH847" s="80" t="s">
        <v>5400</v>
      </c>
      <c r="AI847" s="80">
        <v>24184685</v>
      </c>
      <c r="AJ847" s="80">
        <v>311</v>
      </c>
      <c r="AK847" s="80">
        <v>109231</v>
      </c>
      <c r="AL847" s="80">
        <v>19858</v>
      </c>
      <c r="AM847" s="80" t="s">
        <v>5614</v>
      </c>
      <c r="AN847" s="102" t="str">
        <f>HYPERLINK("https://www.youtube.com/watch?v=fyLsEcRhyVo")</f>
        <v>https://www.youtube.com/watch?v=fyLsEcRhyVo</v>
      </c>
      <c r="AO847" s="2"/>
      <c r="AP847" s="3"/>
      <c r="AQ847" s="3"/>
      <c r="AR847" s="3"/>
      <c r="AS847" s="3"/>
    </row>
    <row r="848" spans="1:45" ht="15">
      <c r="A848" s="66" t="s">
        <v>1023</v>
      </c>
      <c r="B848" s="67"/>
      <c r="C848" s="67"/>
      <c r="D848" s="68"/>
      <c r="E848" s="70"/>
      <c r="F848" s="100" t="str">
        <f>HYPERLINK("https://i.ytimg.com/vi/I0RkdZGD5hk/default.jpg")</f>
        <v>https://i.ytimg.com/vi/I0RkdZGD5hk/default.jpg</v>
      </c>
      <c r="G848" s="67"/>
      <c r="H848" s="71"/>
      <c r="I848" s="72"/>
      <c r="J848" s="72"/>
      <c r="K848" s="71" t="s">
        <v>2077</v>
      </c>
      <c r="L848" s="75"/>
      <c r="M848" s="76">
        <v>4426.08544921875</v>
      </c>
      <c r="N848" s="76">
        <v>2803.173828125</v>
      </c>
      <c r="O848" s="77"/>
      <c r="P848" s="78"/>
      <c r="Q848" s="78"/>
      <c r="R848" s="82"/>
      <c r="S848" s="82"/>
      <c r="T848" s="82"/>
      <c r="U848" s="82"/>
      <c r="V848" s="52"/>
      <c r="W848" s="52"/>
      <c r="X848" s="52"/>
      <c r="Y848" s="52"/>
      <c r="Z848" s="51"/>
      <c r="AA848" s="73">
        <v>848</v>
      </c>
      <c r="AB848" s="73"/>
      <c r="AC848" s="74"/>
      <c r="AD848" s="80" t="s">
        <v>2077</v>
      </c>
      <c r="AE848" s="80" t="s">
        <v>2996</v>
      </c>
      <c r="AF848" s="80" t="s">
        <v>3721</v>
      </c>
      <c r="AG848" s="80" t="s">
        <v>4445</v>
      </c>
      <c r="AH848" s="80" t="s">
        <v>5401</v>
      </c>
      <c r="AI848" s="80">
        <v>1728554</v>
      </c>
      <c r="AJ848" s="80">
        <v>1019</v>
      </c>
      <c r="AK848" s="80">
        <v>29974</v>
      </c>
      <c r="AL848" s="80">
        <v>1246</v>
      </c>
      <c r="AM848" s="80" t="s">
        <v>5614</v>
      </c>
      <c r="AN848" s="102" t="str">
        <f>HYPERLINK("https://www.youtube.com/watch?v=I0RkdZGD5hk")</f>
        <v>https://www.youtube.com/watch?v=I0RkdZGD5hk</v>
      </c>
      <c r="AO848" s="2"/>
      <c r="AP848" s="3"/>
      <c r="AQ848" s="3"/>
      <c r="AR848" s="3"/>
      <c r="AS848" s="3"/>
    </row>
    <row r="849" spans="1:45" ht="15">
      <c r="A849" s="66" t="s">
        <v>1024</v>
      </c>
      <c r="B849" s="67"/>
      <c r="C849" s="67"/>
      <c r="D849" s="68"/>
      <c r="E849" s="70"/>
      <c r="F849" s="100" t="str">
        <f>HYPERLINK("https://i.ytimg.com/vi/FlwQ4UYqKsc/default.jpg")</f>
        <v>https://i.ytimg.com/vi/FlwQ4UYqKsc/default.jpg</v>
      </c>
      <c r="G849" s="67"/>
      <c r="H849" s="71"/>
      <c r="I849" s="72"/>
      <c r="J849" s="72"/>
      <c r="K849" s="71" t="s">
        <v>2078</v>
      </c>
      <c r="L849" s="75"/>
      <c r="M849" s="76">
        <v>4539.8671875</v>
      </c>
      <c r="N849" s="76">
        <v>2365.395263671875</v>
      </c>
      <c r="O849" s="77"/>
      <c r="P849" s="78"/>
      <c r="Q849" s="78"/>
      <c r="R849" s="82"/>
      <c r="S849" s="82"/>
      <c r="T849" s="82"/>
      <c r="U849" s="82"/>
      <c r="V849" s="52"/>
      <c r="W849" s="52"/>
      <c r="X849" s="52"/>
      <c r="Y849" s="52"/>
      <c r="Z849" s="51"/>
      <c r="AA849" s="73">
        <v>849</v>
      </c>
      <c r="AB849" s="73"/>
      <c r="AC849" s="74"/>
      <c r="AD849" s="80" t="s">
        <v>2078</v>
      </c>
      <c r="AE849" s="80"/>
      <c r="AF849" s="80"/>
      <c r="AG849" s="80" t="s">
        <v>3987</v>
      </c>
      <c r="AH849" s="80" t="s">
        <v>5402</v>
      </c>
      <c r="AI849" s="80">
        <v>518</v>
      </c>
      <c r="AJ849" s="80">
        <v>0</v>
      </c>
      <c r="AK849" s="80">
        <v>0</v>
      </c>
      <c r="AL849" s="80">
        <v>0</v>
      </c>
      <c r="AM849" s="80" t="s">
        <v>5614</v>
      </c>
      <c r="AN849" s="102" t="str">
        <f>HYPERLINK("https://www.youtube.com/watch?v=FlwQ4UYqKsc")</f>
        <v>https://www.youtube.com/watch?v=FlwQ4UYqKsc</v>
      </c>
      <c r="AO849" s="2"/>
      <c r="AP849" s="3"/>
      <c r="AQ849" s="3"/>
      <c r="AR849" s="3"/>
      <c r="AS849" s="3"/>
    </row>
    <row r="850" spans="1:45" ht="15">
      <c r="A850" s="66" t="s">
        <v>1025</v>
      </c>
      <c r="B850" s="67"/>
      <c r="C850" s="67"/>
      <c r="D850" s="68"/>
      <c r="E850" s="70"/>
      <c r="F850" s="100" t="str">
        <f>HYPERLINK("https://i.ytimg.com/vi/h4Af5bbFAq0/default.jpg")</f>
        <v>https://i.ytimg.com/vi/h4Af5bbFAq0/default.jpg</v>
      </c>
      <c r="G850" s="67"/>
      <c r="H850" s="71"/>
      <c r="I850" s="72"/>
      <c r="J850" s="72"/>
      <c r="K850" s="71" t="s">
        <v>2079</v>
      </c>
      <c r="L850" s="75"/>
      <c r="M850" s="76">
        <v>5032.55224609375</v>
      </c>
      <c r="N850" s="76">
        <v>2254.50048828125</v>
      </c>
      <c r="O850" s="77"/>
      <c r="P850" s="78"/>
      <c r="Q850" s="78"/>
      <c r="R850" s="82"/>
      <c r="S850" s="82"/>
      <c r="T850" s="82"/>
      <c r="U850" s="82"/>
      <c r="V850" s="52"/>
      <c r="W850" s="52"/>
      <c r="X850" s="52"/>
      <c r="Y850" s="52"/>
      <c r="Z850" s="51"/>
      <c r="AA850" s="73">
        <v>850</v>
      </c>
      <c r="AB850" s="73"/>
      <c r="AC850" s="74"/>
      <c r="AD850" s="80" t="s">
        <v>2079</v>
      </c>
      <c r="AE850" s="80" t="s">
        <v>2997</v>
      </c>
      <c r="AF850" s="80" t="s">
        <v>3722</v>
      </c>
      <c r="AG850" s="80" t="s">
        <v>4446</v>
      </c>
      <c r="AH850" s="80" t="s">
        <v>5403</v>
      </c>
      <c r="AI850" s="80">
        <v>351655</v>
      </c>
      <c r="AJ850" s="80">
        <v>275</v>
      </c>
      <c r="AK850" s="80">
        <v>9860</v>
      </c>
      <c r="AL850" s="80">
        <v>389</v>
      </c>
      <c r="AM850" s="80" t="s">
        <v>5614</v>
      </c>
      <c r="AN850" s="102" t="str">
        <f>HYPERLINK("https://www.youtube.com/watch?v=h4Af5bbFAq0")</f>
        <v>https://www.youtube.com/watch?v=h4Af5bbFAq0</v>
      </c>
      <c r="AO850" s="2"/>
      <c r="AP850" s="3"/>
      <c r="AQ850" s="3"/>
      <c r="AR850" s="3"/>
      <c r="AS850" s="3"/>
    </row>
    <row r="851" spans="1:45" ht="15">
      <c r="A851" s="66" t="s">
        <v>1026</v>
      </c>
      <c r="B851" s="67"/>
      <c r="C851" s="67"/>
      <c r="D851" s="68"/>
      <c r="E851" s="70"/>
      <c r="F851" s="100" t="str">
        <f>HYPERLINK("https://i.ytimg.com/vi/Ab5annGq3zQ/default.jpg")</f>
        <v>https://i.ytimg.com/vi/Ab5annGq3zQ/default.jpg</v>
      </c>
      <c r="G851" s="67"/>
      <c r="H851" s="71"/>
      <c r="I851" s="72"/>
      <c r="J851" s="72"/>
      <c r="K851" s="71" t="s">
        <v>2080</v>
      </c>
      <c r="L851" s="75"/>
      <c r="M851" s="76">
        <v>4473.23876953125</v>
      </c>
      <c r="N851" s="76">
        <v>3089.212158203125</v>
      </c>
      <c r="O851" s="77"/>
      <c r="P851" s="78"/>
      <c r="Q851" s="78"/>
      <c r="R851" s="82"/>
      <c r="S851" s="82"/>
      <c r="T851" s="82"/>
      <c r="U851" s="82"/>
      <c r="V851" s="52"/>
      <c r="W851" s="52"/>
      <c r="X851" s="52"/>
      <c r="Y851" s="52"/>
      <c r="Z851" s="51"/>
      <c r="AA851" s="73">
        <v>851</v>
      </c>
      <c r="AB851" s="73"/>
      <c r="AC851" s="74"/>
      <c r="AD851" s="80" t="s">
        <v>2080</v>
      </c>
      <c r="AE851" s="80" t="s">
        <v>2998</v>
      </c>
      <c r="AF851" s="80"/>
      <c r="AG851" s="80" t="s">
        <v>4447</v>
      </c>
      <c r="AH851" s="80" t="s">
        <v>5404</v>
      </c>
      <c r="AI851" s="80">
        <v>189</v>
      </c>
      <c r="AJ851" s="80">
        <v>1</v>
      </c>
      <c r="AK851" s="80">
        <v>11</v>
      </c>
      <c r="AL851" s="80">
        <v>0</v>
      </c>
      <c r="AM851" s="80" t="s">
        <v>5614</v>
      </c>
      <c r="AN851" s="102" t="str">
        <f>HYPERLINK("https://www.youtube.com/watch?v=Ab5annGq3zQ")</f>
        <v>https://www.youtube.com/watch?v=Ab5annGq3zQ</v>
      </c>
      <c r="AO851" s="2"/>
      <c r="AP851" s="3"/>
      <c r="AQ851" s="3"/>
      <c r="AR851" s="3"/>
      <c r="AS851" s="3"/>
    </row>
    <row r="852" spans="1:45" ht="15">
      <c r="A852" s="66" t="s">
        <v>1027</v>
      </c>
      <c r="B852" s="67"/>
      <c r="C852" s="67"/>
      <c r="D852" s="68"/>
      <c r="E852" s="70"/>
      <c r="F852" s="100" t="str">
        <f>HYPERLINK("https://i.ytimg.com/vi/OkHgtFmxyfE/default.jpg")</f>
        <v>https://i.ytimg.com/vi/OkHgtFmxyfE/default.jpg</v>
      </c>
      <c r="G852" s="67"/>
      <c r="H852" s="71"/>
      <c r="I852" s="72"/>
      <c r="J852" s="72"/>
      <c r="K852" s="71" t="s">
        <v>2081</v>
      </c>
      <c r="L852" s="75"/>
      <c r="M852" s="76">
        <v>7466.20849609375</v>
      </c>
      <c r="N852" s="76">
        <v>2830.635986328125</v>
      </c>
      <c r="O852" s="77"/>
      <c r="P852" s="78"/>
      <c r="Q852" s="78"/>
      <c r="R852" s="82"/>
      <c r="S852" s="82"/>
      <c r="T852" s="82"/>
      <c r="U852" s="82"/>
      <c r="V852" s="52"/>
      <c r="W852" s="52"/>
      <c r="X852" s="52"/>
      <c r="Y852" s="52"/>
      <c r="Z852" s="51"/>
      <c r="AA852" s="73">
        <v>852</v>
      </c>
      <c r="AB852" s="73"/>
      <c r="AC852" s="74"/>
      <c r="AD852" s="80" t="s">
        <v>2081</v>
      </c>
      <c r="AE852" s="80" t="s">
        <v>2999</v>
      </c>
      <c r="AF852" s="80" t="s">
        <v>3723</v>
      </c>
      <c r="AG852" s="80" t="s">
        <v>3899</v>
      </c>
      <c r="AH852" s="80" t="s">
        <v>5405</v>
      </c>
      <c r="AI852" s="80">
        <v>227746</v>
      </c>
      <c r="AJ852" s="80">
        <v>26</v>
      </c>
      <c r="AK852" s="80">
        <v>5378</v>
      </c>
      <c r="AL852" s="80">
        <v>174</v>
      </c>
      <c r="AM852" s="80" t="s">
        <v>5614</v>
      </c>
      <c r="AN852" s="102" t="str">
        <f>HYPERLINK("https://www.youtube.com/watch?v=OkHgtFmxyfE")</f>
        <v>https://www.youtube.com/watch?v=OkHgtFmxyfE</v>
      </c>
      <c r="AO852" s="2"/>
      <c r="AP852" s="3"/>
      <c r="AQ852" s="3"/>
      <c r="AR852" s="3"/>
      <c r="AS852" s="3"/>
    </row>
    <row r="853" spans="1:45" ht="15">
      <c r="A853" s="66" t="s">
        <v>1028</v>
      </c>
      <c r="B853" s="67"/>
      <c r="C853" s="67"/>
      <c r="D853" s="68"/>
      <c r="E853" s="70"/>
      <c r="F853" s="100" t="str">
        <f>HYPERLINK("https://i.ytimg.com/vi/ahTfhuqIn30/default.jpg")</f>
        <v>https://i.ytimg.com/vi/ahTfhuqIn30/default.jpg</v>
      </c>
      <c r="G853" s="67"/>
      <c r="H853" s="71"/>
      <c r="I853" s="72"/>
      <c r="J853" s="72"/>
      <c r="K853" s="71" t="s">
        <v>2082</v>
      </c>
      <c r="L853" s="75"/>
      <c r="M853" s="76">
        <v>6155.61865234375</v>
      </c>
      <c r="N853" s="76">
        <v>2437.89111328125</v>
      </c>
      <c r="O853" s="77"/>
      <c r="P853" s="78"/>
      <c r="Q853" s="78"/>
      <c r="R853" s="82"/>
      <c r="S853" s="82"/>
      <c r="T853" s="82"/>
      <c r="U853" s="82"/>
      <c r="V853" s="52"/>
      <c r="W853" s="52"/>
      <c r="X853" s="52"/>
      <c r="Y853" s="52"/>
      <c r="Z853" s="51"/>
      <c r="AA853" s="73">
        <v>853</v>
      </c>
      <c r="AB853" s="73"/>
      <c r="AC853" s="74"/>
      <c r="AD853" s="80" t="s">
        <v>2082</v>
      </c>
      <c r="AE853" s="80" t="s">
        <v>3000</v>
      </c>
      <c r="AF853" s="80" t="s">
        <v>3724</v>
      </c>
      <c r="AG853" s="80" t="s">
        <v>4448</v>
      </c>
      <c r="AH853" s="80" t="s">
        <v>5406</v>
      </c>
      <c r="AI853" s="80">
        <v>42476</v>
      </c>
      <c r="AJ853" s="80">
        <v>9</v>
      </c>
      <c r="AK853" s="80">
        <v>363</v>
      </c>
      <c r="AL853" s="80">
        <v>20</v>
      </c>
      <c r="AM853" s="80" t="s">
        <v>5614</v>
      </c>
      <c r="AN853" s="102" t="str">
        <f>HYPERLINK("https://www.youtube.com/watch?v=ahTfhuqIn30")</f>
        <v>https://www.youtube.com/watch?v=ahTfhuqIn30</v>
      </c>
      <c r="AO853" s="2"/>
      <c r="AP853" s="3"/>
      <c r="AQ853" s="3"/>
      <c r="AR853" s="3"/>
      <c r="AS853" s="3"/>
    </row>
    <row r="854" spans="1:45" ht="15">
      <c r="A854" s="66" t="s">
        <v>1029</v>
      </c>
      <c r="B854" s="67"/>
      <c r="C854" s="67"/>
      <c r="D854" s="68"/>
      <c r="E854" s="70"/>
      <c r="F854" s="100" t="str">
        <f>HYPERLINK("https://i.ytimg.com/vi/LfMs8TL0H0o/default.jpg")</f>
        <v>https://i.ytimg.com/vi/LfMs8TL0H0o/default.jpg</v>
      </c>
      <c r="G854" s="67"/>
      <c r="H854" s="71"/>
      <c r="I854" s="72"/>
      <c r="J854" s="72"/>
      <c r="K854" s="71" t="s">
        <v>2083</v>
      </c>
      <c r="L854" s="75"/>
      <c r="M854" s="76">
        <v>7326.93115234375</v>
      </c>
      <c r="N854" s="76">
        <v>2761.27734375</v>
      </c>
      <c r="O854" s="77"/>
      <c r="P854" s="78"/>
      <c r="Q854" s="78"/>
      <c r="R854" s="82"/>
      <c r="S854" s="82"/>
      <c r="T854" s="82"/>
      <c r="U854" s="82"/>
      <c r="V854" s="52"/>
      <c r="W854" s="52"/>
      <c r="X854" s="52"/>
      <c r="Y854" s="52"/>
      <c r="Z854" s="51"/>
      <c r="AA854" s="73">
        <v>854</v>
      </c>
      <c r="AB854" s="73"/>
      <c r="AC854" s="74"/>
      <c r="AD854" s="80" t="s">
        <v>2083</v>
      </c>
      <c r="AE854" s="80" t="s">
        <v>3001</v>
      </c>
      <c r="AF854" s="80" t="s">
        <v>3725</v>
      </c>
      <c r="AG854" s="80" t="s">
        <v>3884</v>
      </c>
      <c r="AH854" s="80" t="s">
        <v>5407</v>
      </c>
      <c r="AI854" s="80">
        <v>5526</v>
      </c>
      <c r="AJ854" s="80">
        <v>8</v>
      </c>
      <c r="AK854" s="80">
        <v>110</v>
      </c>
      <c r="AL854" s="80">
        <v>0</v>
      </c>
      <c r="AM854" s="80" t="s">
        <v>5614</v>
      </c>
      <c r="AN854" s="102" t="str">
        <f>HYPERLINK("https://www.youtube.com/watch?v=LfMs8TL0H0o")</f>
        <v>https://www.youtube.com/watch?v=LfMs8TL0H0o</v>
      </c>
      <c r="AO854" s="2"/>
      <c r="AP854" s="3"/>
      <c r="AQ854" s="3"/>
      <c r="AR854" s="3"/>
      <c r="AS854" s="3"/>
    </row>
    <row r="855" spans="1:45" ht="15">
      <c r="A855" s="66" t="s">
        <v>1030</v>
      </c>
      <c r="B855" s="67"/>
      <c r="C855" s="67"/>
      <c r="D855" s="68"/>
      <c r="E855" s="70"/>
      <c r="F855" s="100" t="str">
        <f>HYPERLINK("https://i.ytimg.com/vi/zy3saX7L6iM/default.jpg")</f>
        <v>https://i.ytimg.com/vi/zy3saX7L6iM/default.jpg</v>
      </c>
      <c r="G855" s="67"/>
      <c r="H855" s="71"/>
      <c r="I855" s="72"/>
      <c r="J855" s="72"/>
      <c r="K855" s="71" t="s">
        <v>2084</v>
      </c>
      <c r="L855" s="75"/>
      <c r="M855" s="76">
        <v>7334.95849609375</v>
      </c>
      <c r="N855" s="76">
        <v>2609.31591796875</v>
      </c>
      <c r="O855" s="77"/>
      <c r="P855" s="78"/>
      <c r="Q855" s="78"/>
      <c r="R855" s="82"/>
      <c r="S855" s="82"/>
      <c r="T855" s="82"/>
      <c r="U855" s="82"/>
      <c r="V855" s="52"/>
      <c r="W855" s="52"/>
      <c r="X855" s="52"/>
      <c r="Y855" s="52"/>
      <c r="Z855" s="51"/>
      <c r="AA855" s="73">
        <v>855</v>
      </c>
      <c r="AB855" s="73"/>
      <c r="AC855" s="74"/>
      <c r="AD855" s="80" t="s">
        <v>2084</v>
      </c>
      <c r="AE855" s="80" t="s">
        <v>3002</v>
      </c>
      <c r="AF855" s="80"/>
      <c r="AG855" s="80" t="s">
        <v>4449</v>
      </c>
      <c r="AH855" s="80" t="s">
        <v>5408</v>
      </c>
      <c r="AI855" s="80">
        <v>8778</v>
      </c>
      <c r="AJ855" s="80">
        <v>22</v>
      </c>
      <c r="AK855" s="80">
        <v>168</v>
      </c>
      <c r="AL855" s="80">
        <v>0</v>
      </c>
      <c r="AM855" s="80" t="s">
        <v>5614</v>
      </c>
      <c r="AN855" s="102" t="str">
        <f>HYPERLINK("https://www.youtube.com/watch?v=zy3saX7L6iM")</f>
        <v>https://www.youtube.com/watch?v=zy3saX7L6iM</v>
      </c>
      <c r="AO855" s="2"/>
      <c r="AP855" s="3"/>
      <c r="AQ855" s="3"/>
      <c r="AR855" s="3"/>
      <c r="AS855" s="3"/>
    </row>
    <row r="856" spans="1:45" ht="15">
      <c r="A856" s="66" t="s">
        <v>1031</v>
      </c>
      <c r="B856" s="67"/>
      <c r="C856" s="67"/>
      <c r="D856" s="68"/>
      <c r="E856" s="70"/>
      <c r="F856" s="100" t="str">
        <f>HYPERLINK("https://i.ytimg.com/vi/NoJvP06sDr4/default.jpg")</f>
        <v>https://i.ytimg.com/vi/NoJvP06sDr4/default.jpg</v>
      </c>
      <c r="G856" s="67"/>
      <c r="H856" s="71"/>
      <c r="I856" s="72"/>
      <c r="J856" s="72"/>
      <c r="K856" s="71" t="s">
        <v>2085</v>
      </c>
      <c r="L856" s="75"/>
      <c r="M856" s="76">
        <v>7264.18603515625</v>
      </c>
      <c r="N856" s="76">
        <v>2756.444091796875</v>
      </c>
      <c r="O856" s="77"/>
      <c r="P856" s="78"/>
      <c r="Q856" s="78"/>
      <c r="R856" s="82"/>
      <c r="S856" s="82"/>
      <c r="T856" s="82"/>
      <c r="U856" s="82"/>
      <c r="V856" s="52"/>
      <c r="W856" s="52"/>
      <c r="X856" s="52"/>
      <c r="Y856" s="52"/>
      <c r="Z856" s="51"/>
      <c r="AA856" s="73">
        <v>856</v>
      </c>
      <c r="AB856" s="73"/>
      <c r="AC856" s="74"/>
      <c r="AD856" s="80" t="s">
        <v>2085</v>
      </c>
      <c r="AE856" s="80" t="s">
        <v>3003</v>
      </c>
      <c r="AF856" s="80" t="s">
        <v>3726</v>
      </c>
      <c r="AG856" s="80" t="s">
        <v>4362</v>
      </c>
      <c r="AH856" s="80" t="s">
        <v>5409</v>
      </c>
      <c r="AI856" s="80">
        <v>503958</v>
      </c>
      <c r="AJ856" s="80">
        <v>1012</v>
      </c>
      <c r="AK856" s="80">
        <v>5913</v>
      </c>
      <c r="AL856" s="80">
        <v>726</v>
      </c>
      <c r="AM856" s="80" t="s">
        <v>5614</v>
      </c>
      <c r="AN856" s="102" t="str">
        <f>HYPERLINK("https://www.youtube.com/watch?v=NoJvP06sDr4")</f>
        <v>https://www.youtube.com/watch?v=NoJvP06sDr4</v>
      </c>
      <c r="AO856" s="2"/>
      <c r="AP856" s="3"/>
      <c r="AQ856" s="3"/>
      <c r="AR856" s="3"/>
      <c r="AS856" s="3"/>
    </row>
    <row r="857" spans="1:45" ht="15">
      <c r="A857" s="66" t="s">
        <v>1032</v>
      </c>
      <c r="B857" s="67"/>
      <c r="C857" s="67"/>
      <c r="D857" s="68"/>
      <c r="E857" s="70"/>
      <c r="F857" s="100" t="str">
        <f>HYPERLINK("https://i.ytimg.com/vi/5tZKQS5MkY4/default.jpg")</f>
        <v>https://i.ytimg.com/vi/5tZKQS5MkY4/default.jpg</v>
      </c>
      <c r="G857" s="67"/>
      <c r="H857" s="71"/>
      <c r="I857" s="72"/>
      <c r="J857" s="72"/>
      <c r="K857" s="71" t="s">
        <v>2086</v>
      </c>
      <c r="L857" s="75"/>
      <c r="M857" s="76">
        <v>7564.28857421875</v>
      </c>
      <c r="N857" s="76">
        <v>2963.906494140625</v>
      </c>
      <c r="O857" s="77"/>
      <c r="P857" s="78"/>
      <c r="Q857" s="78"/>
      <c r="R857" s="82"/>
      <c r="S857" s="82"/>
      <c r="T857" s="82"/>
      <c r="U857" s="82"/>
      <c r="V857" s="52"/>
      <c r="W857" s="52"/>
      <c r="X857" s="52"/>
      <c r="Y857" s="52"/>
      <c r="Z857" s="51"/>
      <c r="AA857" s="73">
        <v>857</v>
      </c>
      <c r="AB857" s="73"/>
      <c r="AC857" s="74"/>
      <c r="AD857" s="80" t="s">
        <v>2086</v>
      </c>
      <c r="AE857" s="80" t="s">
        <v>3004</v>
      </c>
      <c r="AF857" s="80"/>
      <c r="AG857" s="80" t="s">
        <v>4450</v>
      </c>
      <c r="AH857" s="80" t="s">
        <v>5410</v>
      </c>
      <c r="AI857" s="80">
        <v>12164</v>
      </c>
      <c r="AJ857" s="80">
        <v>13</v>
      </c>
      <c r="AK857" s="80">
        <v>170</v>
      </c>
      <c r="AL857" s="80">
        <v>10</v>
      </c>
      <c r="AM857" s="80" t="s">
        <v>5614</v>
      </c>
      <c r="AN857" s="102" t="str">
        <f>HYPERLINK("https://www.youtube.com/watch?v=5tZKQS5MkY4")</f>
        <v>https://www.youtube.com/watch?v=5tZKQS5MkY4</v>
      </c>
      <c r="AO857" s="2"/>
      <c r="AP857" s="3"/>
      <c r="AQ857" s="3"/>
      <c r="AR857" s="3"/>
      <c r="AS857" s="3"/>
    </row>
    <row r="858" spans="1:45" ht="15">
      <c r="A858" s="66" t="s">
        <v>1033</v>
      </c>
      <c r="B858" s="67"/>
      <c r="C858" s="67"/>
      <c r="D858" s="68"/>
      <c r="E858" s="70"/>
      <c r="F858" s="100" t="str">
        <f>HYPERLINK("https://i.ytimg.com/vi/qy5-zqx1G90/default.jpg")</f>
        <v>https://i.ytimg.com/vi/qy5-zqx1G90/default.jpg</v>
      </c>
      <c r="G858" s="67"/>
      <c r="H858" s="71"/>
      <c r="I858" s="72"/>
      <c r="J858" s="72"/>
      <c r="K858" s="71" t="s">
        <v>2087</v>
      </c>
      <c r="L858" s="75"/>
      <c r="M858" s="76">
        <v>5422.1728515625</v>
      </c>
      <c r="N858" s="76">
        <v>3429.630859375</v>
      </c>
      <c r="O858" s="77"/>
      <c r="P858" s="78"/>
      <c r="Q858" s="78"/>
      <c r="R858" s="82"/>
      <c r="S858" s="82"/>
      <c r="T858" s="82"/>
      <c r="U858" s="82"/>
      <c r="V858" s="52"/>
      <c r="W858" s="52"/>
      <c r="X858" s="52"/>
      <c r="Y858" s="52"/>
      <c r="Z858" s="51"/>
      <c r="AA858" s="73">
        <v>858</v>
      </c>
      <c r="AB858" s="73"/>
      <c r="AC858" s="74"/>
      <c r="AD858" s="80" t="s">
        <v>2087</v>
      </c>
      <c r="AE858" s="80" t="s">
        <v>3005</v>
      </c>
      <c r="AF858" s="80"/>
      <c r="AG858" s="80" t="s">
        <v>4451</v>
      </c>
      <c r="AH858" s="80" t="s">
        <v>5411</v>
      </c>
      <c r="AI858" s="80">
        <v>1536</v>
      </c>
      <c r="AJ858" s="80">
        <v>1</v>
      </c>
      <c r="AK858" s="80">
        <v>14</v>
      </c>
      <c r="AL858" s="80">
        <v>2</v>
      </c>
      <c r="AM858" s="80" t="s">
        <v>5614</v>
      </c>
      <c r="AN858" s="102" t="str">
        <f>HYPERLINK("https://www.youtube.com/watch?v=qy5-zqx1G90")</f>
        <v>https://www.youtube.com/watch?v=qy5-zqx1G90</v>
      </c>
      <c r="AO858" s="2"/>
      <c r="AP858" s="3"/>
      <c r="AQ858" s="3"/>
      <c r="AR858" s="3"/>
      <c r="AS858" s="3"/>
    </row>
    <row r="859" spans="1:45" ht="15">
      <c r="A859" s="66" t="s">
        <v>1034</v>
      </c>
      <c r="B859" s="67"/>
      <c r="C859" s="67"/>
      <c r="D859" s="68"/>
      <c r="E859" s="70"/>
      <c r="F859" s="100" t="str">
        <f>HYPERLINK("https://i.ytimg.com/vi/6efQBGIfsj0/default.jpg")</f>
        <v>https://i.ytimg.com/vi/6efQBGIfsj0/default.jpg</v>
      </c>
      <c r="G859" s="67"/>
      <c r="H859" s="71"/>
      <c r="I859" s="72"/>
      <c r="J859" s="72"/>
      <c r="K859" s="71" t="s">
        <v>2088</v>
      </c>
      <c r="L859" s="75"/>
      <c r="M859" s="76">
        <v>6482.4990234375</v>
      </c>
      <c r="N859" s="76">
        <v>2708.75</v>
      </c>
      <c r="O859" s="77"/>
      <c r="P859" s="78"/>
      <c r="Q859" s="78"/>
      <c r="R859" s="82"/>
      <c r="S859" s="82"/>
      <c r="T859" s="82"/>
      <c r="U859" s="82"/>
      <c r="V859" s="52"/>
      <c r="W859" s="52"/>
      <c r="X859" s="52"/>
      <c r="Y859" s="52"/>
      <c r="Z859" s="51"/>
      <c r="AA859" s="73">
        <v>859</v>
      </c>
      <c r="AB859" s="73"/>
      <c r="AC859" s="74"/>
      <c r="AD859" s="80" t="s">
        <v>2088</v>
      </c>
      <c r="AE859" s="80" t="s">
        <v>3006</v>
      </c>
      <c r="AF859" s="80"/>
      <c r="AG859" s="80" t="s">
        <v>4452</v>
      </c>
      <c r="AH859" s="80" t="s">
        <v>5412</v>
      </c>
      <c r="AI859" s="80">
        <v>12646</v>
      </c>
      <c r="AJ859" s="80">
        <v>5</v>
      </c>
      <c r="AK859" s="80">
        <v>160</v>
      </c>
      <c r="AL859" s="80">
        <v>2</v>
      </c>
      <c r="AM859" s="80" t="s">
        <v>5614</v>
      </c>
      <c r="AN859" s="102" t="str">
        <f>HYPERLINK("https://www.youtube.com/watch?v=6efQBGIfsj0")</f>
        <v>https://www.youtube.com/watch?v=6efQBGIfsj0</v>
      </c>
      <c r="AO859" s="2"/>
      <c r="AP859" s="3"/>
      <c r="AQ859" s="3"/>
      <c r="AR859" s="3"/>
      <c r="AS859" s="3"/>
    </row>
    <row r="860" spans="1:45" ht="15">
      <c r="A860" s="66" t="s">
        <v>1035</v>
      </c>
      <c r="B860" s="67"/>
      <c r="C860" s="67"/>
      <c r="D860" s="68"/>
      <c r="E860" s="70"/>
      <c r="F860" s="100" t="str">
        <f>HYPERLINK("https://i.ytimg.com/vi/8yZSH0Gg-6Y/default.jpg")</f>
        <v>https://i.ytimg.com/vi/8yZSH0Gg-6Y/default.jpg</v>
      </c>
      <c r="G860" s="67"/>
      <c r="H860" s="71"/>
      <c r="I860" s="72"/>
      <c r="J860" s="72"/>
      <c r="K860" s="71" t="s">
        <v>2089</v>
      </c>
      <c r="L860" s="75"/>
      <c r="M860" s="76">
        <v>7463.8935546875</v>
      </c>
      <c r="N860" s="76">
        <v>2692.58056640625</v>
      </c>
      <c r="O860" s="77"/>
      <c r="P860" s="78"/>
      <c r="Q860" s="78"/>
      <c r="R860" s="82"/>
      <c r="S860" s="82"/>
      <c r="T860" s="82"/>
      <c r="U860" s="82"/>
      <c r="V860" s="52"/>
      <c r="W860" s="52"/>
      <c r="X860" s="52"/>
      <c r="Y860" s="52"/>
      <c r="Z860" s="51"/>
      <c r="AA860" s="73">
        <v>860</v>
      </c>
      <c r="AB860" s="73"/>
      <c r="AC860" s="74"/>
      <c r="AD860" s="80" t="s">
        <v>2089</v>
      </c>
      <c r="AE860" s="80" t="s">
        <v>3007</v>
      </c>
      <c r="AF860" s="80"/>
      <c r="AG860" s="80" t="s">
        <v>4453</v>
      </c>
      <c r="AH860" s="80" t="s">
        <v>5413</v>
      </c>
      <c r="AI860" s="80">
        <v>937</v>
      </c>
      <c r="AJ860" s="80">
        <v>0</v>
      </c>
      <c r="AK860" s="80">
        <v>13</v>
      </c>
      <c r="AL860" s="80">
        <v>1</v>
      </c>
      <c r="AM860" s="80" t="s">
        <v>5614</v>
      </c>
      <c r="AN860" s="102" t="str">
        <f>HYPERLINK("https://www.youtube.com/watch?v=8yZSH0Gg-6Y")</f>
        <v>https://www.youtube.com/watch?v=8yZSH0Gg-6Y</v>
      </c>
      <c r="AO860" s="2"/>
      <c r="AP860" s="3"/>
      <c r="AQ860" s="3"/>
      <c r="AR860" s="3"/>
      <c r="AS860" s="3"/>
    </row>
    <row r="861" spans="1:45" ht="15">
      <c r="A861" s="66" t="s">
        <v>1036</v>
      </c>
      <c r="B861" s="67"/>
      <c r="C861" s="67"/>
      <c r="D861" s="68"/>
      <c r="E861" s="70"/>
      <c r="F861" s="100" t="str">
        <f>HYPERLINK("https://i.ytimg.com/vi/ho9rZjlsyYY/default.jpg")</f>
        <v>https://i.ytimg.com/vi/ho9rZjlsyYY/default.jpg</v>
      </c>
      <c r="G861" s="67"/>
      <c r="H861" s="71"/>
      <c r="I861" s="72"/>
      <c r="J861" s="72"/>
      <c r="K861" s="71" t="s">
        <v>2090</v>
      </c>
      <c r="L861" s="75"/>
      <c r="M861" s="76">
        <v>7544.84619140625</v>
      </c>
      <c r="N861" s="76">
        <v>2825.329833984375</v>
      </c>
      <c r="O861" s="77"/>
      <c r="P861" s="78"/>
      <c r="Q861" s="78"/>
      <c r="R861" s="82"/>
      <c r="S861" s="82"/>
      <c r="T861" s="82"/>
      <c r="U861" s="82"/>
      <c r="V861" s="52"/>
      <c r="W861" s="52"/>
      <c r="X861" s="52"/>
      <c r="Y861" s="52"/>
      <c r="Z861" s="51"/>
      <c r="AA861" s="73">
        <v>861</v>
      </c>
      <c r="AB861" s="73"/>
      <c r="AC861" s="74"/>
      <c r="AD861" s="80" t="s">
        <v>2090</v>
      </c>
      <c r="AE861" s="80" t="s">
        <v>3008</v>
      </c>
      <c r="AF861" s="80" t="s">
        <v>3727</v>
      </c>
      <c r="AG861" s="80" t="s">
        <v>4454</v>
      </c>
      <c r="AH861" s="80" t="s">
        <v>5414</v>
      </c>
      <c r="AI861" s="80">
        <v>42669374</v>
      </c>
      <c r="AJ861" s="80">
        <v>34308</v>
      </c>
      <c r="AK861" s="80">
        <v>416892</v>
      </c>
      <c r="AL861" s="80">
        <v>9324</v>
      </c>
      <c r="AM861" s="80" t="s">
        <v>5614</v>
      </c>
      <c r="AN861" s="102" t="str">
        <f>HYPERLINK("https://www.youtube.com/watch?v=ho9rZjlsyYY")</f>
        <v>https://www.youtube.com/watch?v=ho9rZjlsyYY</v>
      </c>
      <c r="AO861" s="2"/>
      <c r="AP861" s="3"/>
      <c r="AQ861" s="3"/>
      <c r="AR861" s="3"/>
      <c r="AS861" s="3"/>
    </row>
    <row r="862" spans="1:45" ht="15">
      <c r="A862" s="66" t="s">
        <v>1037</v>
      </c>
      <c r="B862" s="67"/>
      <c r="C862" s="67"/>
      <c r="D862" s="68"/>
      <c r="E862" s="70"/>
      <c r="F862" s="100" t="str">
        <f>HYPERLINK("https://i.ytimg.com/vi/pbiRMpE5mNg/default.jpg")</f>
        <v>https://i.ytimg.com/vi/pbiRMpE5mNg/default.jpg</v>
      </c>
      <c r="G862" s="67"/>
      <c r="H862" s="71"/>
      <c r="I862" s="72"/>
      <c r="J862" s="72"/>
      <c r="K862" s="71" t="s">
        <v>2091</v>
      </c>
      <c r="L862" s="75"/>
      <c r="M862" s="76">
        <v>6380.1513671875</v>
      </c>
      <c r="N862" s="76">
        <v>2718.1806640625</v>
      </c>
      <c r="O862" s="77"/>
      <c r="P862" s="78"/>
      <c r="Q862" s="78"/>
      <c r="R862" s="82"/>
      <c r="S862" s="82"/>
      <c r="T862" s="82"/>
      <c r="U862" s="82"/>
      <c r="V862" s="52"/>
      <c r="W862" s="52"/>
      <c r="X862" s="52"/>
      <c r="Y862" s="52"/>
      <c r="Z862" s="51"/>
      <c r="AA862" s="73">
        <v>862</v>
      </c>
      <c r="AB862" s="73"/>
      <c r="AC862" s="74"/>
      <c r="AD862" s="80" t="s">
        <v>2091</v>
      </c>
      <c r="AE862" s="80" t="s">
        <v>3009</v>
      </c>
      <c r="AF862" s="80" t="s">
        <v>3728</v>
      </c>
      <c r="AG862" s="80" t="s">
        <v>4023</v>
      </c>
      <c r="AH862" s="80" t="s">
        <v>5415</v>
      </c>
      <c r="AI862" s="80">
        <v>25317</v>
      </c>
      <c r="AJ862" s="80">
        <v>7</v>
      </c>
      <c r="AK862" s="80">
        <v>518</v>
      </c>
      <c r="AL862" s="80">
        <v>14</v>
      </c>
      <c r="AM862" s="80" t="s">
        <v>5614</v>
      </c>
      <c r="AN862" s="102" t="str">
        <f>HYPERLINK("https://www.youtube.com/watch?v=pbiRMpE5mNg")</f>
        <v>https://www.youtube.com/watch?v=pbiRMpE5mNg</v>
      </c>
      <c r="AO862" s="2"/>
      <c r="AP862" s="3"/>
      <c r="AQ862" s="3"/>
      <c r="AR862" s="3"/>
      <c r="AS862" s="3"/>
    </row>
    <row r="863" spans="1:45" ht="15">
      <c r="A863" s="66" t="s">
        <v>1038</v>
      </c>
      <c r="B863" s="67"/>
      <c r="C863" s="67"/>
      <c r="D863" s="68"/>
      <c r="E863" s="70"/>
      <c r="F863" s="100" t="str">
        <f>HYPERLINK("https://i.ytimg.com/vi/m676KsisvXg/default.jpg")</f>
        <v>https://i.ytimg.com/vi/m676KsisvXg/default.jpg</v>
      </c>
      <c r="G863" s="67"/>
      <c r="H863" s="71"/>
      <c r="I863" s="72"/>
      <c r="J863" s="72"/>
      <c r="K863" s="71" t="s">
        <v>2092</v>
      </c>
      <c r="L863" s="75"/>
      <c r="M863" s="76">
        <v>6006.16748046875</v>
      </c>
      <c r="N863" s="76">
        <v>2393.5068359375</v>
      </c>
      <c r="O863" s="77"/>
      <c r="P863" s="78"/>
      <c r="Q863" s="78"/>
      <c r="R863" s="82"/>
      <c r="S863" s="82"/>
      <c r="T863" s="82"/>
      <c r="U863" s="82"/>
      <c r="V863" s="52"/>
      <c r="W863" s="52"/>
      <c r="X863" s="52"/>
      <c r="Y863" s="52"/>
      <c r="Z863" s="51"/>
      <c r="AA863" s="73">
        <v>863</v>
      </c>
      <c r="AB863" s="73"/>
      <c r="AC863" s="74"/>
      <c r="AD863" s="80" t="s">
        <v>2092</v>
      </c>
      <c r="AE863" s="80" t="s">
        <v>3010</v>
      </c>
      <c r="AF863" s="80" t="s">
        <v>3729</v>
      </c>
      <c r="AG863" s="80" t="s">
        <v>4455</v>
      </c>
      <c r="AH863" s="80" t="s">
        <v>5416</v>
      </c>
      <c r="AI863" s="80">
        <v>1249172</v>
      </c>
      <c r="AJ863" s="80">
        <v>4372</v>
      </c>
      <c r="AK863" s="80">
        <v>59865</v>
      </c>
      <c r="AL863" s="80">
        <v>1497</v>
      </c>
      <c r="AM863" s="80" t="s">
        <v>5614</v>
      </c>
      <c r="AN863" s="102" t="str">
        <f>HYPERLINK("https://www.youtube.com/watch?v=m676KsisvXg")</f>
        <v>https://www.youtube.com/watch?v=m676KsisvXg</v>
      </c>
      <c r="AO863" s="2"/>
      <c r="AP863" s="3"/>
      <c r="AQ863" s="3"/>
      <c r="AR863" s="3"/>
      <c r="AS863" s="3"/>
    </row>
    <row r="864" spans="1:45" ht="15">
      <c r="A864" s="66" t="s">
        <v>1039</v>
      </c>
      <c r="B864" s="67"/>
      <c r="C864" s="67"/>
      <c r="D864" s="68"/>
      <c r="E864" s="70"/>
      <c r="F864" s="100" t="str">
        <f>HYPERLINK("https://i.ytimg.com/vi/OwdlhSGLams/default.jpg")</f>
        <v>https://i.ytimg.com/vi/OwdlhSGLams/default.jpg</v>
      </c>
      <c r="G864" s="67"/>
      <c r="H864" s="71"/>
      <c r="I864" s="72"/>
      <c r="J864" s="72"/>
      <c r="K864" s="71" t="s">
        <v>2093</v>
      </c>
      <c r="L864" s="75"/>
      <c r="M864" s="76">
        <v>7526.91162109375</v>
      </c>
      <c r="N864" s="76">
        <v>2908.742431640625</v>
      </c>
      <c r="O864" s="77"/>
      <c r="P864" s="78"/>
      <c r="Q864" s="78"/>
      <c r="R864" s="82"/>
      <c r="S864" s="82"/>
      <c r="T864" s="82"/>
      <c r="U864" s="82"/>
      <c r="V864" s="52"/>
      <c r="W864" s="52"/>
      <c r="X864" s="52"/>
      <c r="Y864" s="52"/>
      <c r="Z864" s="51"/>
      <c r="AA864" s="73">
        <v>864</v>
      </c>
      <c r="AB864" s="73"/>
      <c r="AC864" s="74"/>
      <c r="AD864" s="80" t="s">
        <v>2093</v>
      </c>
      <c r="AE864" s="80" t="s">
        <v>3011</v>
      </c>
      <c r="AF864" s="80" t="s">
        <v>3730</v>
      </c>
      <c r="AG864" s="80" t="s">
        <v>4456</v>
      </c>
      <c r="AH864" s="80" t="s">
        <v>5417</v>
      </c>
      <c r="AI864" s="80">
        <v>66087</v>
      </c>
      <c r="AJ864" s="80">
        <v>74</v>
      </c>
      <c r="AK864" s="80">
        <v>1649</v>
      </c>
      <c r="AL864" s="80">
        <v>35</v>
      </c>
      <c r="AM864" s="80" t="s">
        <v>5614</v>
      </c>
      <c r="AN864" s="102" t="str">
        <f>HYPERLINK("https://www.youtube.com/watch?v=OwdlhSGLams")</f>
        <v>https://www.youtube.com/watch?v=OwdlhSGLams</v>
      </c>
      <c r="AO864" s="2"/>
      <c r="AP864" s="3"/>
      <c r="AQ864" s="3"/>
      <c r="AR864" s="3"/>
      <c r="AS864" s="3"/>
    </row>
    <row r="865" spans="1:45" ht="15">
      <c r="A865" s="66" t="s">
        <v>1040</v>
      </c>
      <c r="B865" s="67"/>
      <c r="C865" s="67"/>
      <c r="D865" s="68"/>
      <c r="E865" s="70"/>
      <c r="F865" s="100" t="str">
        <f>HYPERLINK("https://i.ytimg.com/vi/myowhDwuxLQ/default.jpg")</f>
        <v>https://i.ytimg.com/vi/myowhDwuxLQ/default.jpg</v>
      </c>
      <c r="G865" s="67"/>
      <c r="H865" s="71"/>
      <c r="I865" s="72"/>
      <c r="J865" s="72"/>
      <c r="K865" s="71" t="s">
        <v>2094</v>
      </c>
      <c r="L865" s="75"/>
      <c r="M865" s="76">
        <v>7592.5634765625</v>
      </c>
      <c r="N865" s="76">
        <v>3018.5791015625</v>
      </c>
      <c r="O865" s="77"/>
      <c r="P865" s="78"/>
      <c r="Q865" s="78"/>
      <c r="R865" s="82"/>
      <c r="S865" s="82"/>
      <c r="T865" s="82"/>
      <c r="U865" s="82"/>
      <c r="V865" s="52"/>
      <c r="W865" s="52"/>
      <c r="X865" s="52"/>
      <c r="Y865" s="52"/>
      <c r="Z865" s="51"/>
      <c r="AA865" s="73">
        <v>865</v>
      </c>
      <c r="AB865" s="73"/>
      <c r="AC865" s="74"/>
      <c r="AD865" s="80" t="s">
        <v>2094</v>
      </c>
      <c r="AE865" s="80" t="s">
        <v>3012</v>
      </c>
      <c r="AF865" s="80" t="s">
        <v>3731</v>
      </c>
      <c r="AG865" s="80" t="s">
        <v>4457</v>
      </c>
      <c r="AH865" s="80" t="s">
        <v>5418</v>
      </c>
      <c r="AI865" s="80">
        <v>5681</v>
      </c>
      <c r="AJ865" s="80">
        <v>7</v>
      </c>
      <c r="AK865" s="80">
        <v>97</v>
      </c>
      <c r="AL865" s="80">
        <v>1</v>
      </c>
      <c r="AM865" s="80" t="s">
        <v>5614</v>
      </c>
      <c r="AN865" s="102" t="str">
        <f>HYPERLINK("https://www.youtube.com/watch?v=myowhDwuxLQ")</f>
        <v>https://www.youtube.com/watch?v=myowhDwuxLQ</v>
      </c>
      <c r="AO865" s="2"/>
      <c r="AP865" s="3"/>
      <c r="AQ865" s="3"/>
      <c r="AR865" s="3"/>
      <c r="AS865" s="3"/>
    </row>
    <row r="866" spans="1:45" ht="15">
      <c r="A866" s="66" t="s">
        <v>1041</v>
      </c>
      <c r="B866" s="67"/>
      <c r="C866" s="67"/>
      <c r="D866" s="68"/>
      <c r="E866" s="70"/>
      <c r="F866" s="100" t="str">
        <f>HYPERLINK("https://i.ytimg.com/vi/TAeW5lNm0kU/default.jpg")</f>
        <v>https://i.ytimg.com/vi/TAeW5lNm0kU/default.jpg</v>
      </c>
      <c r="G866" s="67"/>
      <c r="H866" s="71"/>
      <c r="I866" s="72"/>
      <c r="J866" s="72"/>
      <c r="K866" s="71" t="s">
        <v>2095</v>
      </c>
      <c r="L866" s="75"/>
      <c r="M866" s="76">
        <v>7230.28759765625</v>
      </c>
      <c r="N866" s="76">
        <v>2617.036865234375</v>
      </c>
      <c r="O866" s="77"/>
      <c r="P866" s="78"/>
      <c r="Q866" s="78"/>
      <c r="R866" s="82"/>
      <c r="S866" s="82"/>
      <c r="T866" s="82"/>
      <c r="U866" s="82"/>
      <c r="V866" s="52"/>
      <c r="W866" s="52"/>
      <c r="X866" s="52"/>
      <c r="Y866" s="52"/>
      <c r="Z866" s="51"/>
      <c r="AA866" s="73">
        <v>866</v>
      </c>
      <c r="AB866" s="73"/>
      <c r="AC866" s="74"/>
      <c r="AD866" s="80" t="s">
        <v>2095</v>
      </c>
      <c r="AE866" s="80" t="s">
        <v>3013</v>
      </c>
      <c r="AF866" s="80" t="s">
        <v>3732</v>
      </c>
      <c r="AG866" s="80" t="s">
        <v>3899</v>
      </c>
      <c r="AH866" s="80" t="s">
        <v>5419</v>
      </c>
      <c r="AI866" s="80">
        <v>637110</v>
      </c>
      <c r="AJ866" s="80">
        <v>725</v>
      </c>
      <c r="AK866" s="80">
        <v>18634</v>
      </c>
      <c r="AL866" s="80">
        <v>580</v>
      </c>
      <c r="AM866" s="80" t="s">
        <v>5614</v>
      </c>
      <c r="AN866" s="102" t="str">
        <f>HYPERLINK("https://www.youtube.com/watch?v=TAeW5lNm0kU")</f>
        <v>https://www.youtube.com/watch?v=TAeW5lNm0kU</v>
      </c>
      <c r="AO866" s="2"/>
      <c r="AP866" s="3"/>
      <c r="AQ866" s="3"/>
      <c r="AR866" s="3"/>
      <c r="AS866" s="3"/>
    </row>
    <row r="867" spans="1:45" ht="15">
      <c r="A867" s="66" t="s">
        <v>1042</v>
      </c>
      <c r="B867" s="67"/>
      <c r="C867" s="67"/>
      <c r="D867" s="68"/>
      <c r="E867" s="70"/>
      <c r="F867" s="100" t="str">
        <f>HYPERLINK("https://i.ytimg.com/vi/8-ffqW-Xq_o/default.jpg")</f>
        <v>https://i.ytimg.com/vi/8-ffqW-Xq_o/default.jpg</v>
      </c>
      <c r="G867" s="67"/>
      <c r="H867" s="71"/>
      <c r="I867" s="72"/>
      <c r="J867" s="72"/>
      <c r="K867" s="71" t="s">
        <v>2096</v>
      </c>
      <c r="L867" s="75"/>
      <c r="M867" s="76">
        <v>7163.32373046875</v>
      </c>
      <c r="N867" s="76">
        <v>2667.193359375</v>
      </c>
      <c r="O867" s="77"/>
      <c r="P867" s="78"/>
      <c r="Q867" s="78"/>
      <c r="R867" s="82"/>
      <c r="S867" s="82"/>
      <c r="T867" s="82"/>
      <c r="U867" s="82"/>
      <c r="V867" s="52"/>
      <c r="W867" s="52"/>
      <c r="X867" s="52"/>
      <c r="Y867" s="52"/>
      <c r="Z867" s="51"/>
      <c r="AA867" s="73">
        <v>867</v>
      </c>
      <c r="AB867" s="73"/>
      <c r="AC867" s="74"/>
      <c r="AD867" s="80" t="s">
        <v>2096</v>
      </c>
      <c r="AE867" s="80" t="s">
        <v>3014</v>
      </c>
      <c r="AF867" s="80" t="s">
        <v>3733</v>
      </c>
      <c r="AG867" s="80" t="s">
        <v>3928</v>
      </c>
      <c r="AH867" s="80" t="s">
        <v>5420</v>
      </c>
      <c r="AI867" s="80">
        <v>1383</v>
      </c>
      <c r="AJ867" s="80">
        <v>7</v>
      </c>
      <c r="AK867" s="80">
        <v>34</v>
      </c>
      <c r="AL867" s="80">
        <v>2</v>
      </c>
      <c r="AM867" s="80" t="s">
        <v>5614</v>
      </c>
      <c r="AN867" s="102" t="str">
        <f>HYPERLINK("https://www.youtube.com/watch?v=8-ffqW-Xq_o")</f>
        <v>https://www.youtube.com/watch?v=8-ffqW-Xq_o</v>
      </c>
      <c r="AO867" s="2"/>
      <c r="AP867" s="3"/>
      <c r="AQ867" s="3"/>
      <c r="AR867" s="3"/>
      <c r="AS867" s="3"/>
    </row>
    <row r="868" spans="1:45" ht="15">
      <c r="A868" s="66" t="s">
        <v>1043</v>
      </c>
      <c r="B868" s="67"/>
      <c r="C868" s="67"/>
      <c r="D868" s="68"/>
      <c r="E868" s="70"/>
      <c r="F868" s="100" t="str">
        <f>HYPERLINK("https://i.ytimg.com/vi/XJFV6cx_-MQ/default.jpg")</f>
        <v>https://i.ytimg.com/vi/XJFV6cx_-MQ/default.jpg</v>
      </c>
      <c r="G868" s="67"/>
      <c r="H868" s="71"/>
      <c r="I868" s="72"/>
      <c r="J868" s="72"/>
      <c r="K868" s="71" t="s">
        <v>2097</v>
      </c>
      <c r="L868" s="75"/>
      <c r="M868" s="76">
        <v>6447.7216796875</v>
      </c>
      <c r="N868" s="76">
        <v>2669.30322265625</v>
      </c>
      <c r="O868" s="77"/>
      <c r="P868" s="78"/>
      <c r="Q868" s="78"/>
      <c r="R868" s="82"/>
      <c r="S868" s="82"/>
      <c r="T868" s="82"/>
      <c r="U868" s="82"/>
      <c r="V868" s="52"/>
      <c r="W868" s="52"/>
      <c r="X868" s="52"/>
      <c r="Y868" s="52"/>
      <c r="Z868" s="51"/>
      <c r="AA868" s="73">
        <v>868</v>
      </c>
      <c r="AB868" s="73"/>
      <c r="AC868" s="74"/>
      <c r="AD868" s="80" t="s">
        <v>2097</v>
      </c>
      <c r="AE868" s="80" t="s">
        <v>3015</v>
      </c>
      <c r="AF868" s="80"/>
      <c r="AG868" s="80" t="s">
        <v>4458</v>
      </c>
      <c r="AH868" s="80" t="s">
        <v>5421</v>
      </c>
      <c r="AI868" s="80">
        <v>9439</v>
      </c>
      <c r="AJ868" s="80">
        <v>0</v>
      </c>
      <c r="AK868" s="80">
        <v>138</v>
      </c>
      <c r="AL868" s="80">
        <v>6</v>
      </c>
      <c r="AM868" s="80" t="s">
        <v>5614</v>
      </c>
      <c r="AN868" s="102" t="str">
        <f>HYPERLINK("https://www.youtube.com/watch?v=XJFV6cx_-MQ")</f>
        <v>https://www.youtube.com/watch?v=XJFV6cx_-MQ</v>
      </c>
      <c r="AO868" s="2"/>
      <c r="AP868" s="3"/>
      <c r="AQ868" s="3"/>
      <c r="AR868" s="3"/>
      <c r="AS868" s="3"/>
    </row>
    <row r="869" spans="1:45" ht="15">
      <c r="A869" s="66" t="s">
        <v>1044</v>
      </c>
      <c r="B869" s="67"/>
      <c r="C869" s="67"/>
      <c r="D869" s="68"/>
      <c r="E869" s="70"/>
      <c r="F869" s="100" t="str">
        <f>HYPERLINK("https://i.ytimg.com/vi/CGUzxENnOu0/default.jpg")</f>
        <v>https://i.ytimg.com/vi/CGUzxENnOu0/default.jpg</v>
      </c>
      <c r="G869" s="67"/>
      <c r="H869" s="71"/>
      <c r="I869" s="72"/>
      <c r="J869" s="72"/>
      <c r="K869" s="71" t="s">
        <v>2098</v>
      </c>
      <c r="L869" s="75"/>
      <c r="M869" s="76">
        <v>7157.3046875</v>
      </c>
      <c r="N869" s="76">
        <v>2603.523193359375</v>
      </c>
      <c r="O869" s="77"/>
      <c r="P869" s="78"/>
      <c r="Q869" s="78"/>
      <c r="R869" s="82"/>
      <c r="S869" s="82"/>
      <c r="T869" s="82"/>
      <c r="U869" s="82"/>
      <c r="V869" s="52"/>
      <c r="W869" s="52"/>
      <c r="X869" s="52"/>
      <c r="Y869" s="52"/>
      <c r="Z869" s="51"/>
      <c r="AA869" s="73">
        <v>869</v>
      </c>
      <c r="AB869" s="73"/>
      <c r="AC869" s="74"/>
      <c r="AD869" s="80" t="s">
        <v>2098</v>
      </c>
      <c r="AE869" s="80" t="s">
        <v>3016</v>
      </c>
      <c r="AF869" s="80"/>
      <c r="AG869" s="80" t="s">
        <v>4459</v>
      </c>
      <c r="AH869" s="80" t="s">
        <v>5422</v>
      </c>
      <c r="AI869" s="80">
        <v>2371</v>
      </c>
      <c r="AJ869" s="80">
        <v>5</v>
      </c>
      <c r="AK869" s="80">
        <v>58</v>
      </c>
      <c r="AL869" s="80">
        <v>2</v>
      </c>
      <c r="AM869" s="80" t="s">
        <v>5614</v>
      </c>
      <c r="AN869" s="102" t="str">
        <f>HYPERLINK("https://www.youtube.com/watch?v=CGUzxENnOu0")</f>
        <v>https://www.youtube.com/watch?v=CGUzxENnOu0</v>
      </c>
      <c r="AO869" s="2"/>
      <c r="AP869" s="3"/>
      <c r="AQ869" s="3"/>
      <c r="AR869" s="3"/>
      <c r="AS869" s="3"/>
    </row>
    <row r="870" spans="1:45" ht="15">
      <c r="A870" s="66" t="s">
        <v>1045</v>
      </c>
      <c r="B870" s="67"/>
      <c r="C870" s="67"/>
      <c r="D870" s="68"/>
      <c r="E870" s="70"/>
      <c r="F870" s="100" t="str">
        <f>HYPERLINK("https://i.ytimg.com/vi/9b2_0bCOaXg/default.jpg")</f>
        <v>https://i.ytimg.com/vi/9b2_0bCOaXg/default.jpg</v>
      </c>
      <c r="G870" s="67"/>
      <c r="H870" s="71"/>
      <c r="I870" s="72"/>
      <c r="J870" s="72"/>
      <c r="K870" s="71" t="s">
        <v>2099</v>
      </c>
      <c r="L870" s="75"/>
      <c r="M870" s="76">
        <v>7457.16845703125</v>
      </c>
      <c r="N870" s="76">
        <v>2739.8916015625</v>
      </c>
      <c r="O870" s="77"/>
      <c r="P870" s="78"/>
      <c r="Q870" s="78"/>
      <c r="R870" s="82"/>
      <c r="S870" s="82"/>
      <c r="T870" s="82"/>
      <c r="U870" s="82"/>
      <c r="V870" s="52"/>
      <c r="W870" s="52"/>
      <c r="X870" s="52"/>
      <c r="Y870" s="52"/>
      <c r="Z870" s="51"/>
      <c r="AA870" s="73">
        <v>870</v>
      </c>
      <c r="AB870" s="73"/>
      <c r="AC870" s="74"/>
      <c r="AD870" s="80" t="s">
        <v>2099</v>
      </c>
      <c r="AE870" s="80" t="s">
        <v>3017</v>
      </c>
      <c r="AF870" s="80" t="s">
        <v>3734</v>
      </c>
      <c r="AG870" s="80" t="s">
        <v>4265</v>
      </c>
      <c r="AH870" s="80" t="s">
        <v>5423</v>
      </c>
      <c r="AI870" s="80">
        <v>215806</v>
      </c>
      <c r="AJ870" s="80">
        <v>148</v>
      </c>
      <c r="AK870" s="80">
        <v>4490</v>
      </c>
      <c r="AL870" s="80">
        <v>139</v>
      </c>
      <c r="AM870" s="80" t="s">
        <v>5614</v>
      </c>
      <c r="AN870" s="102" t="str">
        <f>HYPERLINK("https://www.youtube.com/watch?v=9b2_0bCOaXg")</f>
        <v>https://www.youtube.com/watch?v=9b2_0bCOaXg</v>
      </c>
      <c r="AO870" s="2"/>
      <c r="AP870" s="3"/>
      <c r="AQ870" s="3"/>
      <c r="AR870" s="3"/>
      <c r="AS870" s="3"/>
    </row>
    <row r="871" spans="1:45" ht="15">
      <c r="A871" s="66" t="s">
        <v>1046</v>
      </c>
      <c r="B871" s="67"/>
      <c r="C871" s="67"/>
      <c r="D871" s="68"/>
      <c r="E871" s="70"/>
      <c r="F871" s="100" t="str">
        <f>HYPERLINK("https://i.ytimg.com/vi/YPOqb8S68K4/default.jpg")</f>
        <v>https://i.ytimg.com/vi/YPOqb8S68K4/default.jpg</v>
      </c>
      <c r="G871" s="67"/>
      <c r="H871" s="71"/>
      <c r="I871" s="72"/>
      <c r="J871" s="72"/>
      <c r="K871" s="71" t="s">
        <v>2100</v>
      </c>
      <c r="L871" s="75"/>
      <c r="M871" s="76">
        <v>7466.3544921875</v>
      </c>
      <c r="N871" s="76">
        <v>3000.600341796875</v>
      </c>
      <c r="O871" s="77"/>
      <c r="P871" s="78"/>
      <c r="Q871" s="78"/>
      <c r="R871" s="82"/>
      <c r="S871" s="82"/>
      <c r="T871" s="82"/>
      <c r="U871" s="82"/>
      <c r="V871" s="52"/>
      <c r="W871" s="52"/>
      <c r="X871" s="52"/>
      <c r="Y871" s="52"/>
      <c r="Z871" s="51"/>
      <c r="AA871" s="73">
        <v>871</v>
      </c>
      <c r="AB871" s="73"/>
      <c r="AC871" s="74"/>
      <c r="AD871" s="80" t="s">
        <v>2100</v>
      </c>
      <c r="AE871" s="80"/>
      <c r="AF871" s="80"/>
      <c r="AG871" s="80" t="s">
        <v>4460</v>
      </c>
      <c r="AH871" s="80" t="s">
        <v>5424</v>
      </c>
      <c r="AI871" s="80">
        <v>7605</v>
      </c>
      <c r="AJ871" s="80">
        <v>4</v>
      </c>
      <c r="AK871" s="80">
        <v>82</v>
      </c>
      <c r="AL871" s="80">
        <v>6</v>
      </c>
      <c r="AM871" s="80" t="s">
        <v>5614</v>
      </c>
      <c r="AN871" s="102" t="str">
        <f>HYPERLINK("https://www.youtube.com/watch?v=YPOqb8S68K4")</f>
        <v>https://www.youtube.com/watch?v=YPOqb8S68K4</v>
      </c>
      <c r="AO871" s="2"/>
      <c r="AP871" s="3"/>
      <c r="AQ871" s="3"/>
      <c r="AR871" s="3"/>
      <c r="AS871" s="3"/>
    </row>
    <row r="872" spans="1:45" ht="15">
      <c r="A872" s="66" t="s">
        <v>1047</v>
      </c>
      <c r="B872" s="67"/>
      <c r="C872" s="67"/>
      <c r="D872" s="68"/>
      <c r="E872" s="70"/>
      <c r="F872" s="100" t="str">
        <f>HYPERLINK("https://i.ytimg.com/vi/wFVNLf_Di_4/default.jpg")</f>
        <v>https://i.ytimg.com/vi/wFVNLf_Di_4/default.jpg</v>
      </c>
      <c r="G872" s="67"/>
      <c r="H872" s="71"/>
      <c r="I872" s="72"/>
      <c r="J872" s="72"/>
      <c r="K872" s="71" t="s">
        <v>2101</v>
      </c>
      <c r="L872" s="75"/>
      <c r="M872" s="76">
        <v>5837.27001953125</v>
      </c>
      <c r="N872" s="76">
        <v>2969.07177734375</v>
      </c>
      <c r="O872" s="77"/>
      <c r="P872" s="78"/>
      <c r="Q872" s="78"/>
      <c r="R872" s="82"/>
      <c r="S872" s="82"/>
      <c r="T872" s="82"/>
      <c r="U872" s="82"/>
      <c r="V872" s="52"/>
      <c r="W872" s="52"/>
      <c r="X872" s="52"/>
      <c r="Y872" s="52"/>
      <c r="Z872" s="51"/>
      <c r="AA872" s="73">
        <v>872</v>
      </c>
      <c r="AB872" s="73"/>
      <c r="AC872" s="74"/>
      <c r="AD872" s="80" t="s">
        <v>2101</v>
      </c>
      <c r="AE872" s="80" t="s">
        <v>3018</v>
      </c>
      <c r="AF872" s="80" t="s">
        <v>3735</v>
      </c>
      <c r="AG872" s="80" t="s">
        <v>4461</v>
      </c>
      <c r="AH872" s="80" t="s">
        <v>5425</v>
      </c>
      <c r="AI872" s="80">
        <v>7280</v>
      </c>
      <c r="AJ872" s="80">
        <v>0</v>
      </c>
      <c r="AK872" s="80">
        <v>0</v>
      </c>
      <c r="AL872" s="80">
        <v>0</v>
      </c>
      <c r="AM872" s="80" t="s">
        <v>5614</v>
      </c>
      <c r="AN872" s="102" t="str">
        <f>HYPERLINK("https://www.youtube.com/watch?v=wFVNLf_Di_4")</f>
        <v>https://www.youtube.com/watch?v=wFVNLf_Di_4</v>
      </c>
      <c r="AO872" s="2"/>
      <c r="AP872" s="3"/>
      <c r="AQ872" s="3"/>
      <c r="AR872" s="3"/>
      <c r="AS872" s="3"/>
    </row>
    <row r="873" spans="1:45" ht="15">
      <c r="A873" s="66" t="s">
        <v>1048</v>
      </c>
      <c r="B873" s="67"/>
      <c r="C873" s="67"/>
      <c r="D873" s="68"/>
      <c r="E873" s="70"/>
      <c r="F873" s="100" t="str">
        <f>HYPERLINK("https://i.ytimg.com/vi/gCU7x8pQG70/default.jpg")</f>
        <v>https://i.ytimg.com/vi/gCU7x8pQG70/default.jpg</v>
      </c>
      <c r="G873" s="67"/>
      <c r="H873" s="71"/>
      <c r="I873" s="72"/>
      <c r="J873" s="72"/>
      <c r="K873" s="71" t="s">
        <v>2102</v>
      </c>
      <c r="L873" s="75"/>
      <c r="M873" s="76">
        <v>7441.02490234375</v>
      </c>
      <c r="N873" s="76">
        <v>2763.66162109375</v>
      </c>
      <c r="O873" s="77"/>
      <c r="P873" s="78"/>
      <c r="Q873" s="78"/>
      <c r="R873" s="82"/>
      <c r="S873" s="82"/>
      <c r="T873" s="82"/>
      <c r="U873" s="82"/>
      <c r="V873" s="52"/>
      <c r="W873" s="52"/>
      <c r="X873" s="52"/>
      <c r="Y873" s="52"/>
      <c r="Z873" s="51"/>
      <c r="AA873" s="73">
        <v>873</v>
      </c>
      <c r="AB873" s="73"/>
      <c r="AC873" s="74"/>
      <c r="AD873" s="80" t="s">
        <v>2102</v>
      </c>
      <c r="AE873" s="80" t="s">
        <v>3019</v>
      </c>
      <c r="AF873" s="80" t="s">
        <v>3736</v>
      </c>
      <c r="AG873" s="80" t="s">
        <v>4462</v>
      </c>
      <c r="AH873" s="80" t="s">
        <v>5426</v>
      </c>
      <c r="AI873" s="80">
        <v>3242</v>
      </c>
      <c r="AJ873" s="80">
        <v>3</v>
      </c>
      <c r="AK873" s="80">
        <v>89</v>
      </c>
      <c r="AL873" s="80">
        <v>1</v>
      </c>
      <c r="AM873" s="80" t="s">
        <v>5614</v>
      </c>
      <c r="AN873" s="102" t="str">
        <f>HYPERLINK("https://www.youtube.com/watch?v=gCU7x8pQG70")</f>
        <v>https://www.youtube.com/watch?v=gCU7x8pQG70</v>
      </c>
      <c r="AO873" s="2"/>
      <c r="AP873" s="3"/>
      <c r="AQ873" s="3"/>
      <c r="AR873" s="3"/>
      <c r="AS873" s="3"/>
    </row>
    <row r="874" spans="1:45" ht="15">
      <c r="A874" s="66" t="s">
        <v>1049</v>
      </c>
      <c r="B874" s="67"/>
      <c r="C874" s="67"/>
      <c r="D874" s="68"/>
      <c r="E874" s="70"/>
      <c r="F874" s="100" t="str">
        <f>HYPERLINK("https://i.ytimg.com/vi/Cwj9PtCX-ds/default.jpg")</f>
        <v>https://i.ytimg.com/vi/Cwj9PtCX-ds/default.jpg</v>
      </c>
      <c r="G874" s="67"/>
      <c r="H874" s="71"/>
      <c r="I874" s="72"/>
      <c r="J874" s="72"/>
      <c r="K874" s="71" t="s">
        <v>2103</v>
      </c>
      <c r="L874" s="75"/>
      <c r="M874" s="76">
        <v>7259.0849609375</v>
      </c>
      <c r="N874" s="76">
        <v>2688.05859375</v>
      </c>
      <c r="O874" s="77"/>
      <c r="P874" s="78"/>
      <c r="Q874" s="78"/>
      <c r="R874" s="82"/>
      <c r="S874" s="82"/>
      <c r="T874" s="82"/>
      <c r="U874" s="82"/>
      <c r="V874" s="52"/>
      <c r="W874" s="52"/>
      <c r="X874" s="52"/>
      <c r="Y874" s="52"/>
      <c r="Z874" s="51"/>
      <c r="AA874" s="73">
        <v>874</v>
      </c>
      <c r="AB874" s="73"/>
      <c r="AC874" s="74"/>
      <c r="AD874" s="80" t="s">
        <v>2103</v>
      </c>
      <c r="AE874" s="80" t="s">
        <v>3020</v>
      </c>
      <c r="AF874" s="80"/>
      <c r="AG874" s="80" t="s">
        <v>4463</v>
      </c>
      <c r="AH874" s="80" t="s">
        <v>5427</v>
      </c>
      <c r="AI874" s="80">
        <v>1435</v>
      </c>
      <c r="AJ874" s="80">
        <v>0</v>
      </c>
      <c r="AK874" s="80">
        <v>29</v>
      </c>
      <c r="AL874" s="80">
        <v>0</v>
      </c>
      <c r="AM874" s="80" t="s">
        <v>5614</v>
      </c>
      <c r="AN874" s="102" t="str">
        <f>HYPERLINK("https://www.youtube.com/watch?v=Cwj9PtCX-ds")</f>
        <v>https://www.youtube.com/watch?v=Cwj9PtCX-ds</v>
      </c>
      <c r="AO874" s="2"/>
      <c r="AP874" s="3"/>
      <c r="AQ874" s="3"/>
      <c r="AR874" s="3"/>
      <c r="AS874" s="3"/>
    </row>
    <row r="875" spans="1:45" ht="15">
      <c r="A875" s="66" t="s">
        <v>1050</v>
      </c>
      <c r="B875" s="67"/>
      <c r="C875" s="67"/>
      <c r="D875" s="68"/>
      <c r="E875" s="70"/>
      <c r="F875" s="100" t="str">
        <f>HYPERLINK("https://i.ytimg.com/vi/7PD-50o5X9w/default.jpg")</f>
        <v>https://i.ytimg.com/vi/7PD-50o5X9w/default.jpg</v>
      </c>
      <c r="G875" s="67"/>
      <c r="H875" s="71"/>
      <c r="I875" s="72"/>
      <c r="J875" s="72"/>
      <c r="K875" s="71" t="s">
        <v>2104</v>
      </c>
      <c r="L875" s="75"/>
      <c r="M875" s="76">
        <v>7243.25732421875</v>
      </c>
      <c r="N875" s="76">
        <v>2227.802734375</v>
      </c>
      <c r="O875" s="77"/>
      <c r="P875" s="78"/>
      <c r="Q875" s="78"/>
      <c r="R875" s="82"/>
      <c r="S875" s="82"/>
      <c r="T875" s="82"/>
      <c r="U875" s="82"/>
      <c r="V875" s="52"/>
      <c r="W875" s="52"/>
      <c r="X875" s="52"/>
      <c r="Y875" s="52"/>
      <c r="Z875" s="51"/>
      <c r="AA875" s="73">
        <v>875</v>
      </c>
      <c r="AB875" s="73"/>
      <c r="AC875" s="74"/>
      <c r="AD875" s="80" t="s">
        <v>2104</v>
      </c>
      <c r="AE875" s="80" t="s">
        <v>3021</v>
      </c>
      <c r="AF875" s="80"/>
      <c r="AG875" s="80" t="s">
        <v>4464</v>
      </c>
      <c r="AH875" s="80" t="s">
        <v>5428</v>
      </c>
      <c r="AI875" s="80">
        <v>93053</v>
      </c>
      <c r="AJ875" s="80">
        <v>95</v>
      </c>
      <c r="AK875" s="80">
        <v>1124</v>
      </c>
      <c r="AL875" s="80">
        <v>67</v>
      </c>
      <c r="AM875" s="80" t="s">
        <v>5614</v>
      </c>
      <c r="AN875" s="102" t="str">
        <f>HYPERLINK("https://www.youtube.com/watch?v=7PD-50o5X9w")</f>
        <v>https://www.youtube.com/watch?v=7PD-50o5X9w</v>
      </c>
      <c r="AO875" s="2"/>
      <c r="AP875" s="3"/>
      <c r="AQ875" s="3"/>
      <c r="AR875" s="3"/>
      <c r="AS875" s="3"/>
    </row>
    <row r="876" spans="1:45" ht="15">
      <c r="A876" s="66" t="s">
        <v>1051</v>
      </c>
      <c r="B876" s="67"/>
      <c r="C876" s="67"/>
      <c r="D876" s="68"/>
      <c r="E876" s="70"/>
      <c r="F876" s="100" t="str">
        <f>HYPERLINK("https://i.ytimg.com/vi/K0xkwzNjToA/default.jpg")</f>
        <v>https://i.ytimg.com/vi/K0xkwzNjToA/default.jpg</v>
      </c>
      <c r="G876" s="67"/>
      <c r="H876" s="71"/>
      <c r="I876" s="72"/>
      <c r="J876" s="72"/>
      <c r="K876" s="71" t="s">
        <v>2105</v>
      </c>
      <c r="L876" s="75"/>
      <c r="M876" s="76">
        <v>4797.04296875</v>
      </c>
      <c r="N876" s="76">
        <v>4230.732421875</v>
      </c>
      <c r="O876" s="77"/>
      <c r="P876" s="78"/>
      <c r="Q876" s="78"/>
      <c r="R876" s="82"/>
      <c r="S876" s="82"/>
      <c r="T876" s="82"/>
      <c r="U876" s="82"/>
      <c r="V876" s="52"/>
      <c r="W876" s="52"/>
      <c r="X876" s="52"/>
      <c r="Y876" s="52"/>
      <c r="Z876" s="51"/>
      <c r="AA876" s="73">
        <v>876</v>
      </c>
      <c r="AB876" s="73"/>
      <c r="AC876" s="74"/>
      <c r="AD876" s="80" t="s">
        <v>2105</v>
      </c>
      <c r="AE876" s="80" t="s">
        <v>3022</v>
      </c>
      <c r="AF876" s="80" t="s">
        <v>3737</v>
      </c>
      <c r="AG876" s="80" t="s">
        <v>4465</v>
      </c>
      <c r="AH876" s="80" t="s">
        <v>5429</v>
      </c>
      <c r="AI876" s="80">
        <v>54484</v>
      </c>
      <c r="AJ876" s="80">
        <v>80</v>
      </c>
      <c r="AK876" s="80">
        <v>2352</v>
      </c>
      <c r="AL876" s="80">
        <v>82</v>
      </c>
      <c r="AM876" s="80" t="s">
        <v>5614</v>
      </c>
      <c r="AN876" s="102" t="str">
        <f>HYPERLINK("https://www.youtube.com/watch?v=K0xkwzNjToA")</f>
        <v>https://www.youtube.com/watch?v=K0xkwzNjToA</v>
      </c>
      <c r="AO876" s="2"/>
      <c r="AP876" s="3"/>
      <c r="AQ876" s="3"/>
      <c r="AR876" s="3"/>
      <c r="AS876" s="3"/>
    </row>
    <row r="877" spans="1:45" ht="15">
      <c r="A877" s="66" t="s">
        <v>1052</v>
      </c>
      <c r="B877" s="67"/>
      <c r="C877" s="67"/>
      <c r="D877" s="68"/>
      <c r="E877" s="70"/>
      <c r="F877" s="100" t="str">
        <f>HYPERLINK("https://i.ytimg.com/vi/n3YIyVd3j2c/default.jpg")</f>
        <v>https://i.ytimg.com/vi/n3YIyVd3j2c/default.jpg</v>
      </c>
      <c r="G877" s="67"/>
      <c r="H877" s="71"/>
      <c r="I877" s="72"/>
      <c r="J877" s="72"/>
      <c r="K877" s="71" t="s">
        <v>2106</v>
      </c>
      <c r="L877" s="75"/>
      <c r="M877" s="76">
        <v>7133.38671875</v>
      </c>
      <c r="N877" s="76">
        <v>2213.88134765625</v>
      </c>
      <c r="O877" s="77"/>
      <c r="P877" s="78"/>
      <c r="Q877" s="78"/>
      <c r="R877" s="82"/>
      <c r="S877" s="82"/>
      <c r="T877" s="82"/>
      <c r="U877" s="82"/>
      <c r="V877" s="52"/>
      <c r="W877" s="52"/>
      <c r="X877" s="52"/>
      <c r="Y877" s="52"/>
      <c r="Z877" s="51"/>
      <c r="AA877" s="73">
        <v>877</v>
      </c>
      <c r="AB877" s="73"/>
      <c r="AC877" s="74"/>
      <c r="AD877" s="80" t="s">
        <v>2106</v>
      </c>
      <c r="AE877" s="80" t="s">
        <v>3023</v>
      </c>
      <c r="AF877" s="80" t="s">
        <v>3738</v>
      </c>
      <c r="AG877" s="80" t="s">
        <v>4466</v>
      </c>
      <c r="AH877" s="80" t="s">
        <v>5430</v>
      </c>
      <c r="AI877" s="80">
        <v>123161</v>
      </c>
      <c r="AJ877" s="80">
        <v>1170</v>
      </c>
      <c r="AK877" s="80">
        <v>4395</v>
      </c>
      <c r="AL877" s="80">
        <v>284</v>
      </c>
      <c r="AM877" s="80" t="s">
        <v>5614</v>
      </c>
      <c r="AN877" s="102" t="str">
        <f>HYPERLINK("https://www.youtube.com/watch?v=n3YIyVd3j2c")</f>
        <v>https://www.youtube.com/watch?v=n3YIyVd3j2c</v>
      </c>
      <c r="AO877" s="2"/>
      <c r="AP877" s="3"/>
      <c r="AQ877" s="3"/>
      <c r="AR877" s="3"/>
      <c r="AS877" s="3"/>
    </row>
    <row r="878" spans="1:45" ht="15">
      <c r="A878" s="66" t="s">
        <v>1053</v>
      </c>
      <c r="B878" s="67"/>
      <c r="C878" s="67"/>
      <c r="D878" s="68"/>
      <c r="E878" s="70"/>
      <c r="F878" s="100" t="str">
        <f>HYPERLINK("https://i.ytimg.com/vi/anctdHsPsKU/default.jpg")</f>
        <v>https://i.ytimg.com/vi/anctdHsPsKU/default.jpg</v>
      </c>
      <c r="G878" s="67"/>
      <c r="H878" s="71"/>
      <c r="I878" s="72"/>
      <c r="J878" s="72"/>
      <c r="K878" s="71" t="s">
        <v>2107</v>
      </c>
      <c r="L878" s="75"/>
      <c r="M878" s="76">
        <v>6971.5029296875</v>
      </c>
      <c r="N878" s="76">
        <v>2003.4583740234375</v>
      </c>
      <c r="O878" s="77"/>
      <c r="P878" s="78"/>
      <c r="Q878" s="78"/>
      <c r="R878" s="82"/>
      <c r="S878" s="82"/>
      <c r="T878" s="82"/>
      <c r="U878" s="82"/>
      <c r="V878" s="52"/>
      <c r="W878" s="52"/>
      <c r="X878" s="52"/>
      <c r="Y878" s="52"/>
      <c r="Z878" s="51"/>
      <c r="AA878" s="73">
        <v>878</v>
      </c>
      <c r="AB878" s="73"/>
      <c r="AC878" s="74"/>
      <c r="AD878" s="80" t="s">
        <v>2107</v>
      </c>
      <c r="AE878" s="80" t="s">
        <v>3024</v>
      </c>
      <c r="AF878" s="80" t="s">
        <v>2107</v>
      </c>
      <c r="AG878" s="80" t="s">
        <v>4467</v>
      </c>
      <c r="AH878" s="80" t="s">
        <v>5431</v>
      </c>
      <c r="AI878" s="80">
        <v>132070</v>
      </c>
      <c r="AJ878" s="80">
        <v>44</v>
      </c>
      <c r="AK878" s="80">
        <v>704</v>
      </c>
      <c r="AL878" s="80">
        <v>56</v>
      </c>
      <c r="AM878" s="80" t="s">
        <v>5614</v>
      </c>
      <c r="AN878" s="102" t="str">
        <f>HYPERLINK("https://www.youtube.com/watch?v=anctdHsPsKU")</f>
        <v>https://www.youtube.com/watch?v=anctdHsPsKU</v>
      </c>
      <c r="AO878" s="2"/>
      <c r="AP878" s="3"/>
      <c r="AQ878" s="3"/>
      <c r="AR878" s="3"/>
      <c r="AS878" s="3"/>
    </row>
    <row r="879" spans="1:45" ht="15">
      <c r="A879" s="66" t="s">
        <v>1054</v>
      </c>
      <c r="B879" s="67"/>
      <c r="C879" s="67"/>
      <c r="D879" s="68"/>
      <c r="E879" s="70"/>
      <c r="F879" s="100" t="str">
        <f>HYPERLINK("https://i.ytimg.com/vi/9hvYQzDyjCQ/default.jpg")</f>
        <v>https://i.ytimg.com/vi/9hvYQzDyjCQ/default.jpg</v>
      </c>
      <c r="G879" s="67"/>
      <c r="H879" s="71"/>
      <c r="I879" s="72"/>
      <c r="J879" s="72"/>
      <c r="K879" s="71" t="s">
        <v>2108</v>
      </c>
      <c r="L879" s="75"/>
      <c r="M879" s="76">
        <v>6783.71240234375</v>
      </c>
      <c r="N879" s="76">
        <v>1903.9453125</v>
      </c>
      <c r="O879" s="77"/>
      <c r="P879" s="78"/>
      <c r="Q879" s="78"/>
      <c r="R879" s="82"/>
      <c r="S879" s="82"/>
      <c r="T879" s="82"/>
      <c r="U879" s="82"/>
      <c r="V879" s="52"/>
      <c r="W879" s="52"/>
      <c r="X879" s="52"/>
      <c r="Y879" s="52"/>
      <c r="Z879" s="51"/>
      <c r="AA879" s="73">
        <v>879</v>
      </c>
      <c r="AB879" s="73"/>
      <c r="AC879" s="74"/>
      <c r="AD879" s="80" t="s">
        <v>2108</v>
      </c>
      <c r="AE879" s="80"/>
      <c r="AF879" s="80"/>
      <c r="AG879" s="80" t="s">
        <v>3989</v>
      </c>
      <c r="AH879" s="80" t="s">
        <v>5432</v>
      </c>
      <c r="AI879" s="80">
        <v>612</v>
      </c>
      <c r="AJ879" s="80">
        <v>2</v>
      </c>
      <c r="AK879" s="80">
        <v>14</v>
      </c>
      <c r="AL879" s="80">
        <v>1</v>
      </c>
      <c r="AM879" s="80" t="s">
        <v>5614</v>
      </c>
      <c r="AN879" s="102" t="str">
        <f>HYPERLINK("https://www.youtube.com/watch?v=9hvYQzDyjCQ")</f>
        <v>https://www.youtube.com/watch?v=9hvYQzDyjCQ</v>
      </c>
      <c r="AO879" s="2"/>
      <c r="AP879" s="3"/>
      <c r="AQ879" s="3"/>
      <c r="AR879" s="3"/>
      <c r="AS879" s="3"/>
    </row>
    <row r="880" spans="1:45" ht="15">
      <c r="A880" s="66" t="s">
        <v>1055</v>
      </c>
      <c r="B880" s="67"/>
      <c r="C880" s="67"/>
      <c r="D880" s="68"/>
      <c r="E880" s="70"/>
      <c r="F880" s="100" t="str">
        <f>HYPERLINK("https://i.ytimg.com/vi/q1TIKQwsyrE/default.jpg")</f>
        <v>https://i.ytimg.com/vi/q1TIKQwsyrE/default.jpg</v>
      </c>
      <c r="G880" s="67"/>
      <c r="H880" s="71"/>
      <c r="I880" s="72"/>
      <c r="J880" s="72"/>
      <c r="K880" s="71" t="s">
        <v>2109</v>
      </c>
      <c r="L880" s="75"/>
      <c r="M880" s="76">
        <v>7006.06787109375</v>
      </c>
      <c r="N880" s="76">
        <v>1997.42236328125</v>
      </c>
      <c r="O880" s="77"/>
      <c r="P880" s="78"/>
      <c r="Q880" s="78"/>
      <c r="R880" s="82"/>
      <c r="S880" s="82"/>
      <c r="T880" s="82"/>
      <c r="U880" s="82"/>
      <c r="V880" s="52"/>
      <c r="W880" s="52"/>
      <c r="X880" s="52"/>
      <c r="Y880" s="52"/>
      <c r="Z880" s="51"/>
      <c r="AA880" s="73">
        <v>880</v>
      </c>
      <c r="AB880" s="73"/>
      <c r="AC880" s="74"/>
      <c r="AD880" s="80" t="s">
        <v>2109</v>
      </c>
      <c r="AE880" s="80" t="s">
        <v>3025</v>
      </c>
      <c r="AF880" s="80"/>
      <c r="AG880" s="80" t="s">
        <v>4468</v>
      </c>
      <c r="AH880" s="80" t="s">
        <v>5433</v>
      </c>
      <c r="AI880" s="80">
        <v>37482155</v>
      </c>
      <c r="AJ880" s="80">
        <v>6004</v>
      </c>
      <c r="AK880" s="80">
        <v>502417</v>
      </c>
      <c r="AL880" s="80">
        <v>7157</v>
      </c>
      <c r="AM880" s="80" t="s">
        <v>5614</v>
      </c>
      <c r="AN880" s="102" t="str">
        <f>HYPERLINK("https://www.youtube.com/watch?v=q1TIKQwsyrE")</f>
        <v>https://www.youtube.com/watch?v=q1TIKQwsyrE</v>
      </c>
      <c r="AO880" s="2"/>
      <c r="AP880" s="3"/>
      <c r="AQ880" s="3"/>
      <c r="AR880" s="3"/>
      <c r="AS880" s="3"/>
    </row>
    <row r="881" spans="1:45" ht="15">
      <c r="A881" s="66" t="s">
        <v>1056</v>
      </c>
      <c r="B881" s="67"/>
      <c r="C881" s="67"/>
      <c r="D881" s="68"/>
      <c r="E881" s="70"/>
      <c r="F881" s="100" t="str">
        <f>HYPERLINK("https://i.ytimg.com/vi/f6mkkckMlMw/default.jpg")</f>
        <v>https://i.ytimg.com/vi/f6mkkckMlMw/default.jpg</v>
      </c>
      <c r="G881" s="67"/>
      <c r="H881" s="71"/>
      <c r="I881" s="72"/>
      <c r="J881" s="72"/>
      <c r="K881" s="71" t="s">
        <v>2110</v>
      </c>
      <c r="L881" s="75"/>
      <c r="M881" s="76">
        <v>7380.78076171875</v>
      </c>
      <c r="N881" s="76">
        <v>2149.41259765625</v>
      </c>
      <c r="O881" s="77"/>
      <c r="P881" s="78"/>
      <c r="Q881" s="78"/>
      <c r="R881" s="82"/>
      <c r="S881" s="82"/>
      <c r="T881" s="82"/>
      <c r="U881" s="82"/>
      <c r="V881" s="52"/>
      <c r="W881" s="52"/>
      <c r="X881" s="52"/>
      <c r="Y881" s="52"/>
      <c r="Z881" s="51"/>
      <c r="AA881" s="73">
        <v>881</v>
      </c>
      <c r="AB881" s="73"/>
      <c r="AC881" s="74"/>
      <c r="AD881" s="80" t="s">
        <v>2110</v>
      </c>
      <c r="AE881" s="80" t="s">
        <v>3026</v>
      </c>
      <c r="AF881" s="80"/>
      <c r="AG881" s="80" t="s">
        <v>3989</v>
      </c>
      <c r="AH881" s="80" t="s">
        <v>5434</v>
      </c>
      <c r="AI881" s="80">
        <v>268</v>
      </c>
      <c r="AJ881" s="80">
        <v>0</v>
      </c>
      <c r="AK881" s="80">
        <v>6</v>
      </c>
      <c r="AL881" s="80">
        <v>0</v>
      </c>
      <c r="AM881" s="80" t="s">
        <v>5614</v>
      </c>
      <c r="AN881" s="102" t="str">
        <f>HYPERLINK("https://www.youtube.com/watch?v=f6mkkckMlMw")</f>
        <v>https://www.youtube.com/watch?v=f6mkkckMlMw</v>
      </c>
      <c r="AO881" s="2"/>
      <c r="AP881" s="3"/>
      <c r="AQ881" s="3"/>
      <c r="AR881" s="3"/>
      <c r="AS881" s="3"/>
    </row>
    <row r="882" spans="1:45" ht="15">
      <c r="A882" s="66" t="s">
        <v>1057</v>
      </c>
      <c r="B882" s="67"/>
      <c r="C882" s="67"/>
      <c r="D882" s="68"/>
      <c r="E882" s="70"/>
      <c r="F882" s="100" t="str">
        <f>HYPERLINK("https://i.ytimg.com/vi/qovPe_LvNtk/default.jpg")</f>
        <v>https://i.ytimg.com/vi/qovPe_LvNtk/default.jpg</v>
      </c>
      <c r="G882" s="67"/>
      <c r="H882" s="71"/>
      <c r="I882" s="72"/>
      <c r="J882" s="72"/>
      <c r="K882" s="71" t="s">
        <v>2111</v>
      </c>
      <c r="L882" s="75"/>
      <c r="M882" s="76">
        <v>7247.29931640625</v>
      </c>
      <c r="N882" s="76">
        <v>2170.7314453125</v>
      </c>
      <c r="O882" s="77"/>
      <c r="P882" s="78"/>
      <c r="Q882" s="78"/>
      <c r="R882" s="82"/>
      <c r="S882" s="82"/>
      <c r="T882" s="82"/>
      <c r="U882" s="82"/>
      <c r="V882" s="52"/>
      <c r="W882" s="52"/>
      <c r="X882" s="52"/>
      <c r="Y882" s="52"/>
      <c r="Z882" s="51"/>
      <c r="AA882" s="73">
        <v>882</v>
      </c>
      <c r="AB882" s="73"/>
      <c r="AC882" s="74"/>
      <c r="AD882" s="80" t="s">
        <v>2111</v>
      </c>
      <c r="AE882" s="80" t="s">
        <v>3026</v>
      </c>
      <c r="AF882" s="80"/>
      <c r="AG882" s="80" t="s">
        <v>3989</v>
      </c>
      <c r="AH882" s="80" t="s">
        <v>5435</v>
      </c>
      <c r="AI882" s="80">
        <v>343</v>
      </c>
      <c r="AJ882" s="80">
        <v>0</v>
      </c>
      <c r="AK882" s="80">
        <v>16</v>
      </c>
      <c r="AL882" s="80">
        <v>0</v>
      </c>
      <c r="AM882" s="80" t="s">
        <v>5614</v>
      </c>
      <c r="AN882" s="102" t="str">
        <f>HYPERLINK("https://www.youtube.com/watch?v=qovPe_LvNtk")</f>
        <v>https://www.youtube.com/watch?v=qovPe_LvNtk</v>
      </c>
      <c r="AO882" s="2"/>
      <c r="AP882" s="3"/>
      <c r="AQ882" s="3"/>
      <c r="AR882" s="3"/>
      <c r="AS882" s="3"/>
    </row>
    <row r="883" spans="1:45" ht="15">
      <c r="A883" s="66" t="s">
        <v>1058</v>
      </c>
      <c r="B883" s="67"/>
      <c r="C883" s="67"/>
      <c r="D883" s="68"/>
      <c r="E883" s="70"/>
      <c r="F883" s="100" t="str">
        <f>HYPERLINK("https://i.ytimg.com/vi/avSRvJ0JVh4/default.jpg")</f>
        <v>https://i.ytimg.com/vi/avSRvJ0JVh4/default.jpg</v>
      </c>
      <c r="G883" s="67"/>
      <c r="H883" s="71"/>
      <c r="I883" s="72"/>
      <c r="J883" s="72"/>
      <c r="K883" s="71" t="s">
        <v>2112</v>
      </c>
      <c r="L883" s="75"/>
      <c r="M883" s="76">
        <v>6808.5009765625</v>
      </c>
      <c r="N883" s="76">
        <v>2156.44970703125</v>
      </c>
      <c r="O883" s="77"/>
      <c r="P883" s="78"/>
      <c r="Q883" s="78"/>
      <c r="R883" s="82"/>
      <c r="S883" s="82"/>
      <c r="T883" s="82"/>
      <c r="U883" s="82"/>
      <c r="V883" s="52"/>
      <c r="W883" s="52"/>
      <c r="X883" s="52"/>
      <c r="Y883" s="52"/>
      <c r="Z883" s="51"/>
      <c r="AA883" s="73">
        <v>883</v>
      </c>
      <c r="AB883" s="73"/>
      <c r="AC883" s="74"/>
      <c r="AD883" s="80" t="s">
        <v>2112</v>
      </c>
      <c r="AE883" s="80" t="s">
        <v>3027</v>
      </c>
      <c r="AF883" s="80"/>
      <c r="AG883" s="80" t="s">
        <v>4469</v>
      </c>
      <c r="AH883" s="80" t="s">
        <v>5436</v>
      </c>
      <c r="AI883" s="80">
        <v>3149</v>
      </c>
      <c r="AJ883" s="80">
        <v>0</v>
      </c>
      <c r="AK883" s="80">
        <v>44</v>
      </c>
      <c r="AL883" s="80">
        <v>4</v>
      </c>
      <c r="AM883" s="80" t="s">
        <v>5614</v>
      </c>
      <c r="AN883" s="102" t="str">
        <f>HYPERLINK("https://www.youtube.com/watch?v=avSRvJ0JVh4")</f>
        <v>https://www.youtube.com/watch?v=avSRvJ0JVh4</v>
      </c>
      <c r="AO883" s="2"/>
      <c r="AP883" s="3"/>
      <c r="AQ883" s="3"/>
      <c r="AR883" s="3"/>
      <c r="AS883" s="3"/>
    </row>
    <row r="884" spans="1:45" ht="15">
      <c r="A884" s="66" t="s">
        <v>1059</v>
      </c>
      <c r="B884" s="67"/>
      <c r="C884" s="67"/>
      <c r="D884" s="68"/>
      <c r="E884" s="70"/>
      <c r="F884" s="100" t="str">
        <f>HYPERLINK("https://i.ytimg.com/vi/gB4SglL5WeE/default.jpg")</f>
        <v>https://i.ytimg.com/vi/gB4SglL5WeE/default.jpg</v>
      </c>
      <c r="G884" s="67"/>
      <c r="H884" s="71"/>
      <c r="I884" s="72"/>
      <c r="J884" s="72"/>
      <c r="K884" s="71" t="s">
        <v>2113</v>
      </c>
      <c r="L884" s="75"/>
      <c r="M884" s="76">
        <v>7316.873046875</v>
      </c>
      <c r="N884" s="76">
        <v>2121.56396484375</v>
      </c>
      <c r="O884" s="77"/>
      <c r="P884" s="78"/>
      <c r="Q884" s="78"/>
      <c r="R884" s="82"/>
      <c r="S884" s="82"/>
      <c r="T884" s="82"/>
      <c r="U884" s="82"/>
      <c r="V884" s="52"/>
      <c r="W884" s="52"/>
      <c r="X884" s="52"/>
      <c r="Y884" s="52"/>
      <c r="Z884" s="51"/>
      <c r="AA884" s="73">
        <v>884</v>
      </c>
      <c r="AB884" s="73"/>
      <c r="AC884" s="74"/>
      <c r="AD884" s="80" t="s">
        <v>2113</v>
      </c>
      <c r="AE884" s="80" t="s">
        <v>3028</v>
      </c>
      <c r="AF884" s="80" t="s">
        <v>3739</v>
      </c>
      <c r="AG884" s="80" t="s">
        <v>4470</v>
      </c>
      <c r="AH884" s="80" t="s">
        <v>5437</v>
      </c>
      <c r="AI884" s="80">
        <v>275288</v>
      </c>
      <c r="AJ884" s="80">
        <v>486</v>
      </c>
      <c r="AK884" s="80">
        <v>10603</v>
      </c>
      <c r="AL884" s="80">
        <v>156</v>
      </c>
      <c r="AM884" s="80" t="s">
        <v>5614</v>
      </c>
      <c r="AN884" s="102" t="str">
        <f>HYPERLINK("https://www.youtube.com/watch?v=gB4SglL5WeE")</f>
        <v>https://www.youtube.com/watch?v=gB4SglL5WeE</v>
      </c>
      <c r="AO884" s="2"/>
      <c r="AP884" s="3"/>
      <c r="AQ884" s="3"/>
      <c r="AR884" s="3"/>
      <c r="AS884" s="3"/>
    </row>
    <row r="885" spans="1:45" ht="15">
      <c r="A885" s="66" t="s">
        <v>1060</v>
      </c>
      <c r="B885" s="67"/>
      <c r="C885" s="67"/>
      <c r="D885" s="68"/>
      <c r="E885" s="70"/>
      <c r="F885" s="100" t="str">
        <f>HYPERLINK("https://i.ytimg.com/vi/cU1wGUM5PJw/default.jpg")</f>
        <v>https://i.ytimg.com/vi/cU1wGUM5PJw/default.jpg</v>
      </c>
      <c r="G885" s="67"/>
      <c r="H885" s="71"/>
      <c r="I885" s="72"/>
      <c r="J885" s="72"/>
      <c r="K885" s="71" t="s">
        <v>2114</v>
      </c>
      <c r="L885" s="75"/>
      <c r="M885" s="76">
        <v>7407.6728515625</v>
      </c>
      <c r="N885" s="76">
        <v>2255.5498046875</v>
      </c>
      <c r="O885" s="77"/>
      <c r="P885" s="78"/>
      <c r="Q885" s="78"/>
      <c r="R885" s="82"/>
      <c r="S885" s="82"/>
      <c r="T885" s="82"/>
      <c r="U885" s="82"/>
      <c r="V885" s="52"/>
      <c r="W885" s="52"/>
      <c r="X885" s="52"/>
      <c r="Y885" s="52"/>
      <c r="Z885" s="51"/>
      <c r="AA885" s="73">
        <v>885</v>
      </c>
      <c r="AB885" s="73"/>
      <c r="AC885" s="74"/>
      <c r="AD885" s="80" t="s">
        <v>2114</v>
      </c>
      <c r="AE885" s="80" t="s">
        <v>3026</v>
      </c>
      <c r="AF885" s="80"/>
      <c r="AG885" s="80" t="s">
        <v>3989</v>
      </c>
      <c r="AH885" s="80" t="s">
        <v>5438</v>
      </c>
      <c r="AI885" s="80">
        <v>65</v>
      </c>
      <c r="AJ885" s="80">
        <v>0</v>
      </c>
      <c r="AK885" s="80">
        <v>2</v>
      </c>
      <c r="AL885" s="80">
        <v>0</v>
      </c>
      <c r="AM885" s="80" t="s">
        <v>5614</v>
      </c>
      <c r="AN885" s="102" t="str">
        <f>HYPERLINK("https://www.youtube.com/watch?v=cU1wGUM5PJw")</f>
        <v>https://www.youtube.com/watch?v=cU1wGUM5PJw</v>
      </c>
      <c r="AO885" s="2"/>
      <c r="AP885" s="3"/>
      <c r="AQ885" s="3"/>
      <c r="AR885" s="3"/>
      <c r="AS885" s="3"/>
    </row>
    <row r="886" spans="1:45" ht="15">
      <c r="A886" s="66" t="s">
        <v>1061</v>
      </c>
      <c r="B886" s="67"/>
      <c r="C886" s="67"/>
      <c r="D886" s="68"/>
      <c r="E886" s="70"/>
      <c r="F886" s="100" t="str">
        <f>HYPERLINK("https://i.ytimg.com/vi/emxBgA1eqbE/default.jpg")</f>
        <v>https://i.ytimg.com/vi/emxBgA1eqbE/default.jpg</v>
      </c>
      <c r="G886" s="67"/>
      <c r="H886" s="71"/>
      <c r="I886" s="72"/>
      <c r="J886" s="72"/>
      <c r="K886" s="71" t="s">
        <v>2115</v>
      </c>
      <c r="L886" s="75"/>
      <c r="M886" s="76">
        <v>6510.193359375</v>
      </c>
      <c r="N886" s="76">
        <v>1955.965087890625</v>
      </c>
      <c r="O886" s="77"/>
      <c r="P886" s="78"/>
      <c r="Q886" s="78"/>
      <c r="R886" s="82"/>
      <c r="S886" s="82"/>
      <c r="T886" s="82"/>
      <c r="U886" s="82"/>
      <c r="V886" s="52"/>
      <c r="W886" s="52"/>
      <c r="X886" s="52"/>
      <c r="Y886" s="52"/>
      <c r="Z886" s="51"/>
      <c r="AA886" s="73">
        <v>886</v>
      </c>
      <c r="AB886" s="73"/>
      <c r="AC886" s="74"/>
      <c r="AD886" s="80" t="s">
        <v>2115</v>
      </c>
      <c r="AE886" s="80"/>
      <c r="AF886" s="80"/>
      <c r="AG886" s="80" t="s">
        <v>3989</v>
      </c>
      <c r="AH886" s="80" t="s">
        <v>5439</v>
      </c>
      <c r="AI886" s="80">
        <v>125</v>
      </c>
      <c r="AJ886" s="80">
        <v>0</v>
      </c>
      <c r="AK886" s="80">
        <v>6</v>
      </c>
      <c r="AL886" s="80">
        <v>0</v>
      </c>
      <c r="AM886" s="80" t="s">
        <v>5614</v>
      </c>
      <c r="AN886" s="102" t="str">
        <f>HYPERLINK("https://www.youtube.com/watch?v=emxBgA1eqbE")</f>
        <v>https://www.youtube.com/watch?v=emxBgA1eqbE</v>
      </c>
      <c r="AO886" s="2"/>
      <c r="AP886" s="3"/>
      <c r="AQ886" s="3"/>
      <c r="AR886" s="3"/>
      <c r="AS886" s="3"/>
    </row>
    <row r="887" spans="1:45" ht="15">
      <c r="A887" s="66" t="s">
        <v>1062</v>
      </c>
      <c r="B887" s="67"/>
      <c r="C887" s="67"/>
      <c r="D887" s="68"/>
      <c r="E887" s="70"/>
      <c r="F887" s="100" t="str">
        <f>HYPERLINK("https://i.ytimg.com/vi/_dXsQxwyEtw/default.jpg")</f>
        <v>https://i.ytimg.com/vi/_dXsQxwyEtw/default.jpg</v>
      </c>
      <c r="G887" s="67"/>
      <c r="H887" s="71"/>
      <c r="I887" s="72"/>
      <c r="J887" s="72"/>
      <c r="K887" s="71" t="s">
        <v>2116</v>
      </c>
      <c r="L887" s="75"/>
      <c r="M887" s="76">
        <v>6753.765625</v>
      </c>
      <c r="N887" s="76">
        <v>1851.590087890625</v>
      </c>
      <c r="O887" s="77"/>
      <c r="P887" s="78"/>
      <c r="Q887" s="78"/>
      <c r="R887" s="82"/>
      <c r="S887" s="82"/>
      <c r="T887" s="82"/>
      <c r="U887" s="82"/>
      <c r="V887" s="52"/>
      <c r="W887" s="52"/>
      <c r="X887" s="52"/>
      <c r="Y887" s="52"/>
      <c r="Z887" s="51"/>
      <c r="AA887" s="73">
        <v>887</v>
      </c>
      <c r="AB887" s="73"/>
      <c r="AC887" s="74"/>
      <c r="AD887" s="80" t="s">
        <v>2116</v>
      </c>
      <c r="AE887" s="80" t="s">
        <v>3029</v>
      </c>
      <c r="AF887" s="80" t="s">
        <v>3740</v>
      </c>
      <c r="AG887" s="80" t="s">
        <v>4471</v>
      </c>
      <c r="AH887" s="80" t="s">
        <v>5440</v>
      </c>
      <c r="AI887" s="80">
        <v>494</v>
      </c>
      <c r="AJ887" s="80">
        <v>0</v>
      </c>
      <c r="AK887" s="80">
        <v>11</v>
      </c>
      <c r="AL887" s="80">
        <v>0</v>
      </c>
      <c r="AM887" s="80" t="s">
        <v>5614</v>
      </c>
      <c r="AN887" s="102" t="str">
        <f>HYPERLINK("https://www.youtube.com/watch?v=_dXsQxwyEtw")</f>
        <v>https://www.youtube.com/watch?v=_dXsQxwyEtw</v>
      </c>
      <c r="AO887" s="2"/>
      <c r="AP887" s="3"/>
      <c r="AQ887" s="3"/>
      <c r="AR887" s="3"/>
      <c r="AS887" s="3"/>
    </row>
    <row r="888" spans="1:45" ht="15">
      <c r="A888" s="66" t="s">
        <v>1063</v>
      </c>
      <c r="B888" s="67"/>
      <c r="C888" s="67"/>
      <c r="D888" s="68"/>
      <c r="E888" s="70"/>
      <c r="F888" s="100" t="str">
        <f>HYPERLINK("https://i.ytimg.com/vi/cgOvxpmH2P0/default.jpg")</f>
        <v>https://i.ytimg.com/vi/cgOvxpmH2P0/default.jpg</v>
      </c>
      <c r="G888" s="67"/>
      <c r="H888" s="71"/>
      <c r="I888" s="72"/>
      <c r="J888" s="72"/>
      <c r="K888" s="71" t="s">
        <v>2117</v>
      </c>
      <c r="L888" s="75"/>
      <c r="M888" s="76">
        <v>6788.01220703125</v>
      </c>
      <c r="N888" s="76">
        <v>2033.3133544921875</v>
      </c>
      <c r="O888" s="77"/>
      <c r="P888" s="78"/>
      <c r="Q888" s="78"/>
      <c r="R888" s="82"/>
      <c r="S888" s="82"/>
      <c r="T888" s="82"/>
      <c r="U888" s="82"/>
      <c r="V888" s="52"/>
      <c r="W888" s="52"/>
      <c r="X888" s="52"/>
      <c r="Y888" s="52"/>
      <c r="Z888" s="51"/>
      <c r="AA888" s="73">
        <v>888</v>
      </c>
      <c r="AB888" s="73"/>
      <c r="AC888" s="74"/>
      <c r="AD888" s="80" t="s">
        <v>2117</v>
      </c>
      <c r="AE888" s="80" t="s">
        <v>3030</v>
      </c>
      <c r="AF888" s="80" t="s">
        <v>3741</v>
      </c>
      <c r="AG888" s="80" t="s">
        <v>4472</v>
      </c>
      <c r="AH888" s="80" t="s">
        <v>5441</v>
      </c>
      <c r="AI888" s="80">
        <v>7615</v>
      </c>
      <c r="AJ888" s="80">
        <v>32</v>
      </c>
      <c r="AK888" s="80">
        <v>94</v>
      </c>
      <c r="AL888" s="80">
        <v>6</v>
      </c>
      <c r="AM888" s="80" t="s">
        <v>5614</v>
      </c>
      <c r="AN888" s="102" t="str">
        <f>HYPERLINK("https://www.youtube.com/watch?v=cgOvxpmH2P0")</f>
        <v>https://www.youtube.com/watch?v=cgOvxpmH2P0</v>
      </c>
      <c r="AO888" s="2"/>
      <c r="AP888" s="3"/>
      <c r="AQ888" s="3"/>
      <c r="AR888" s="3"/>
      <c r="AS888" s="3"/>
    </row>
    <row r="889" spans="1:45" ht="15">
      <c r="A889" s="66" t="s">
        <v>1064</v>
      </c>
      <c r="B889" s="67"/>
      <c r="C889" s="67"/>
      <c r="D889" s="68"/>
      <c r="E889" s="70"/>
      <c r="F889" s="100" t="str">
        <f>HYPERLINK("https://i.ytimg.com/vi/L-g4k8Z85RU/default.jpg")</f>
        <v>https://i.ytimg.com/vi/L-g4k8Z85RU/default.jpg</v>
      </c>
      <c r="G889" s="67"/>
      <c r="H889" s="71"/>
      <c r="I889" s="72"/>
      <c r="J889" s="72"/>
      <c r="K889" s="71" t="s">
        <v>2118</v>
      </c>
      <c r="L889" s="75"/>
      <c r="M889" s="76">
        <v>6690.16015625</v>
      </c>
      <c r="N889" s="76">
        <v>2069.841796875</v>
      </c>
      <c r="O889" s="77"/>
      <c r="P889" s="78"/>
      <c r="Q889" s="78"/>
      <c r="R889" s="82"/>
      <c r="S889" s="82"/>
      <c r="T889" s="82"/>
      <c r="U889" s="82"/>
      <c r="V889" s="52"/>
      <c r="W889" s="52"/>
      <c r="X889" s="52"/>
      <c r="Y889" s="52"/>
      <c r="Z889" s="51"/>
      <c r="AA889" s="73">
        <v>889</v>
      </c>
      <c r="AB889" s="73"/>
      <c r="AC889" s="74"/>
      <c r="AD889" s="80" t="s">
        <v>2118</v>
      </c>
      <c r="AE889" s="80" t="s">
        <v>3031</v>
      </c>
      <c r="AF889" s="80" t="s">
        <v>3742</v>
      </c>
      <c r="AG889" s="80" t="s">
        <v>3989</v>
      </c>
      <c r="AH889" s="80" t="s">
        <v>5442</v>
      </c>
      <c r="AI889" s="80">
        <v>41</v>
      </c>
      <c r="AJ889" s="80">
        <v>0</v>
      </c>
      <c r="AK889" s="80">
        <v>5</v>
      </c>
      <c r="AL889" s="80">
        <v>0</v>
      </c>
      <c r="AM889" s="80" t="s">
        <v>5614</v>
      </c>
      <c r="AN889" s="102" t="str">
        <f>HYPERLINK("https://www.youtube.com/watch?v=L-g4k8Z85RU")</f>
        <v>https://www.youtube.com/watch?v=L-g4k8Z85RU</v>
      </c>
      <c r="AO889" s="2"/>
      <c r="AP889" s="3"/>
      <c r="AQ889" s="3"/>
      <c r="AR889" s="3"/>
      <c r="AS889" s="3"/>
    </row>
    <row r="890" spans="1:45" ht="15">
      <c r="A890" s="66" t="s">
        <v>1065</v>
      </c>
      <c r="B890" s="67"/>
      <c r="C890" s="67"/>
      <c r="D890" s="68"/>
      <c r="E890" s="70"/>
      <c r="F890" s="100" t="str">
        <f>HYPERLINK("https://i.ytimg.com/vi/IUoo-uTrYHI/default.jpg")</f>
        <v>https://i.ytimg.com/vi/IUoo-uTrYHI/default.jpg</v>
      </c>
      <c r="G890" s="67"/>
      <c r="H890" s="71"/>
      <c r="I890" s="72"/>
      <c r="J890" s="72"/>
      <c r="K890" s="71" t="s">
        <v>2119</v>
      </c>
      <c r="L890" s="75"/>
      <c r="M890" s="76">
        <v>6895.228515625</v>
      </c>
      <c r="N890" s="76">
        <v>2188.443359375</v>
      </c>
      <c r="O890" s="77"/>
      <c r="P890" s="78"/>
      <c r="Q890" s="78"/>
      <c r="R890" s="82"/>
      <c r="S890" s="82"/>
      <c r="T890" s="82"/>
      <c r="U890" s="82"/>
      <c r="V890" s="52"/>
      <c r="W890" s="52"/>
      <c r="X890" s="52"/>
      <c r="Y890" s="52"/>
      <c r="Z890" s="51"/>
      <c r="AA890" s="73">
        <v>890</v>
      </c>
      <c r="AB890" s="73"/>
      <c r="AC890" s="74"/>
      <c r="AD890" s="80" t="s">
        <v>2119</v>
      </c>
      <c r="AE890" s="80" t="s">
        <v>3032</v>
      </c>
      <c r="AF890" s="80" t="s">
        <v>3743</v>
      </c>
      <c r="AG890" s="80" t="s">
        <v>4473</v>
      </c>
      <c r="AH890" s="80" t="s">
        <v>5443</v>
      </c>
      <c r="AI890" s="80">
        <v>24789</v>
      </c>
      <c r="AJ890" s="80">
        <v>70</v>
      </c>
      <c r="AK890" s="80">
        <v>1091</v>
      </c>
      <c r="AL890" s="80">
        <v>17</v>
      </c>
      <c r="AM890" s="80" t="s">
        <v>5614</v>
      </c>
      <c r="AN890" s="102" t="str">
        <f>HYPERLINK("https://www.youtube.com/watch?v=IUoo-uTrYHI")</f>
        <v>https://www.youtube.com/watch?v=IUoo-uTrYHI</v>
      </c>
      <c r="AO890" s="2"/>
      <c r="AP890" s="3"/>
      <c r="AQ890" s="3"/>
      <c r="AR890" s="3"/>
      <c r="AS890" s="3"/>
    </row>
    <row r="891" spans="1:45" ht="15">
      <c r="A891" s="66" t="s">
        <v>1066</v>
      </c>
      <c r="B891" s="67"/>
      <c r="C891" s="67"/>
      <c r="D891" s="68"/>
      <c r="E891" s="70"/>
      <c r="F891" s="100" t="str">
        <f>HYPERLINK("https://i.ytimg.com/vi/2NtqrOUE-ys/default.jpg")</f>
        <v>https://i.ytimg.com/vi/2NtqrOUE-ys/default.jpg</v>
      </c>
      <c r="G891" s="67"/>
      <c r="H891" s="71"/>
      <c r="I891" s="72"/>
      <c r="J891" s="72"/>
      <c r="K891" s="71" t="s">
        <v>2120</v>
      </c>
      <c r="L891" s="75"/>
      <c r="M891" s="76">
        <v>7198.19775390625</v>
      </c>
      <c r="N891" s="76">
        <v>2012.8619384765625</v>
      </c>
      <c r="O891" s="77"/>
      <c r="P891" s="78"/>
      <c r="Q891" s="78"/>
      <c r="R891" s="82"/>
      <c r="S891" s="82"/>
      <c r="T891" s="82"/>
      <c r="U891" s="82"/>
      <c r="V891" s="52"/>
      <c r="W891" s="52"/>
      <c r="X891" s="52"/>
      <c r="Y891" s="52"/>
      <c r="Z891" s="51"/>
      <c r="AA891" s="73">
        <v>891</v>
      </c>
      <c r="AB891" s="73"/>
      <c r="AC891" s="74"/>
      <c r="AD891" s="80" t="s">
        <v>2120</v>
      </c>
      <c r="AE891" s="80" t="s">
        <v>3026</v>
      </c>
      <c r="AF891" s="80"/>
      <c r="AG891" s="80" t="s">
        <v>3989</v>
      </c>
      <c r="AH891" s="80" t="s">
        <v>5444</v>
      </c>
      <c r="AI891" s="80">
        <v>50</v>
      </c>
      <c r="AJ891" s="80">
        <v>0</v>
      </c>
      <c r="AK891" s="80">
        <v>2</v>
      </c>
      <c r="AL891" s="80">
        <v>0</v>
      </c>
      <c r="AM891" s="80" t="s">
        <v>5614</v>
      </c>
      <c r="AN891" s="102" t="str">
        <f>HYPERLINK("https://www.youtube.com/watch?v=2NtqrOUE-ys")</f>
        <v>https://www.youtube.com/watch?v=2NtqrOUE-ys</v>
      </c>
      <c r="AO891" s="2"/>
      <c r="AP891" s="3"/>
      <c r="AQ891" s="3"/>
      <c r="AR891" s="3"/>
      <c r="AS891" s="3"/>
    </row>
    <row r="892" spans="1:45" ht="15">
      <c r="A892" s="66" t="s">
        <v>1067</v>
      </c>
      <c r="B892" s="67"/>
      <c r="C892" s="67"/>
      <c r="D892" s="68"/>
      <c r="E892" s="70"/>
      <c r="F892" s="100" t="str">
        <f>HYPERLINK("https://i.ytimg.com/vi/bTIZn8WoKSI/default.jpg")</f>
        <v>https://i.ytimg.com/vi/bTIZn8WoKSI/default.jpg</v>
      </c>
      <c r="G892" s="67"/>
      <c r="H892" s="71"/>
      <c r="I892" s="72"/>
      <c r="J892" s="72"/>
      <c r="K892" s="71" t="s">
        <v>2121</v>
      </c>
      <c r="L892" s="75"/>
      <c r="M892" s="76">
        <v>7086.0400390625</v>
      </c>
      <c r="N892" s="76">
        <v>1943.593017578125</v>
      </c>
      <c r="O892" s="77"/>
      <c r="P892" s="78"/>
      <c r="Q892" s="78"/>
      <c r="R892" s="82"/>
      <c r="S892" s="82"/>
      <c r="T892" s="82"/>
      <c r="U892" s="82"/>
      <c r="V892" s="52"/>
      <c r="W892" s="52"/>
      <c r="X892" s="52"/>
      <c r="Y892" s="52"/>
      <c r="Z892" s="51"/>
      <c r="AA892" s="73">
        <v>892</v>
      </c>
      <c r="AB892" s="73"/>
      <c r="AC892" s="74"/>
      <c r="AD892" s="80" t="s">
        <v>2121</v>
      </c>
      <c r="AE892" s="80"/>
      <c r="AF892" s="80"/>
      <c r="AG892" s="80" t="s">
        <v>3989</v>
      </c>
      <c r="AH892" s="80" t="s">
        <v>5445</v>
      </c>
      <c r="AI892" s="80">
        <v>1000</v>
      </c>
      <c r="AJ892" s="80">
        <v>0</v>
      </c>
      <c r="AK892" s="80">
        <v>36</v>
      </c>
      <c r="AL892" s="80">
        <v>0</v>
      </c>
      <c r="AM892" s="80" t="s">
        <v>5614</v>
      </c>
      <c r="AN892" s="102" t="str">
        <f>HYPERLINK("https://www.youtube.com/watch?v=bTIZn8WoKSI")</f>
        <v>https://www.youtube.com/watch?v=bTIZn8WoKSI</v>
      </c>
      <c r="AO892" s="2"/>
      <c r="AP892" s="3"/>
      <c r="AQ892" s="3"/>
      <c r="AR892" s="3"/>
      <c r="AS892" s="3"/>
    </row>
    <row r="893" spans="1:45" ht="15">
      <c r="A893" s="66" t="s">
        <v>1068</v>
      </c>
      <c r="B893" s="67"/>
      <c r="C893" s="67"/>
      <c r="D893" s="68"/>
      <c r="E893" s="70"/>
      <c r="F893" s="100" t="str">
        <f>HYPERLINK("https://i.ytimg.com/vi/Sw-etzTnKVA/default.jpg")</f>
        <v>https://i.ytimg.com/vi/Sw-etzTnKVA/default.jpg</v>
      </c>
      <c r="G893" s="67"/>
      <c r="H893" s="71"/>
      <c r="I893" s="72"/>
      <c r="J893" s="72"/>
      <c r="K893" s="71" t="s">
        <v>2122</v>
      </c>
      <c r="L893" s="75"/>
      <c r="M893" s="76">
        <v>7019.9990234375</v>
      </c>
      <c r="N893" s="76">
        <v>1921.3463134765625</v>
      </c>
      <c r="O893" s="77"/>
      <c r="P893" s="78"/>
      <c r="Q893" s="78"/>
      <c r="R893" s="82"/>
      <c r="S893" s="82"/>
      <c r="T893" s="82"/>
      <c r="U893" s="82"/>
      <c r="V893" s="52"/>
      <c r="W893" s="52"/>
      <c r="X893" s="52"/>
      <c r="Y893" s="52"/>
      <c r="Z893" s="51"/>
      <c r="AA893" s="73">
        <v>893</v>
      </c>
      <c r="AB893" s="73"/>
      <c r="AC893" s="74"/>
      <c r="AD893" s="80" t="s">
        <v>2122</v>
      </c>
      <c r="AE893" s="80" t="s">
        <v>3033</v>
      </c>
      <c r="AF893" s="80"/>
      <c r="AG893" s="80" t="s">
        <v>3989</v>
      </c>
      <c r="AH893" s="80" t="s">
        <v>5446</v>
      </c>
      <c r="AI893" s="80">
        <v>1333</v>
      </c>
      <c r="AJ893" s="80">
        <v>1</v>
      </c>
      <c r="AK893" s="80">
        <v>66</v>
      </c>
      <c r="AL893" s="80">
        <v>2</v>
      </c>
      <c r="AM893" s="80" t="s">
        <v>5614</v>
      </c>
      <c r="AN893" s="102" t="str">
        <f>HYPERLINK("https://www.youtube.com/watch?v=Sw-etzTnKVA")</f>
        <v>https://www.youtube.com/watch?v=Sw-etzTnKVA</v>
      </c>
      <c r="AO893" s="2"/>
      <c r="AP893" s="3"/>
      <c r="AQ893" s="3"/>
      <c r="AR893" s="3"/>
      <c r="AS893" s="3"/>
    </row>
    <row r="894" spans="1:45" ht="15">
      <c r="A894" s="66" t="s">
        <v>1069</v>
      </c>
      <c r="B894" s="67"/>
      <c r="C894" s="67"/>
      <c r="D894" s="68"/>
      <c r="E894" s="70"/>
      <c r="F894" s="100" t="str">
        <f>HYPERLINK("https://i.ytimg.com/vi/Vv3urftQgOU/default.jpg")</f>
        <v>https://i.ytimg.com/vi/Vv3urftQgOU/default.jpg</v>
      </c>
      <c r="G894" s="67"/>
      <c r="H894" s="71"/>
      <c r="I894" s="72"/>
      <c r="J894" s="72"/>
      <c r="K894" s="71" t="s">
        <v>2123</v>
      </c>
      <c r="L894" s="75"/>
      <c r="M894" s="76">
        <v>7162.40673828125</v>
      </c>
      <c r="N894" s="76">
        <v>2059.145751953125</v>
      </c>
      <c r="O894" s="77"/>
      <c r="P894" s="78"/>
      <c r="Q894" s="78"/>
      <c r="R894" s="82"/>
      <c r="S894" s="82"/>
      <c r="T894" s="82"/>
      <c r="U894" s="82"/>
      <c r="V894" s="52"/>
      <c r="W894" s="52"/>
      <c r="X894" s="52"/>
      <c r="Y894" s="52"/>
      <c r="Z894" s="51"/>
      <c r="AA894" s="73">
        <v>894</v>
      </c>
      <c r="AB894" s="73"/>
      <c r="AC894" s="74"/>
      <c r="AD894" s="80" t="s">
        <v>2123</v>
      </c>
      <c r="AE894" s="80" t="s">
        <v>3034</v>
      </c>
      <c r="AF894" s="80" t="s">
        <v>3744</v>
      </c>
      <c r="AG894" s="80" t="s">
        <v>4130</v>
      </c>
      <c r="AH894" s="80" t="s">
        <v>5447</v>
      </c>
      <c r="AI894" s="80">
        <v>193630</v>
      </c>
      <c r="AJ894" s="80">
        <v>75</v>
      </c>
      <c r="AK894" s="80">
        <v>2527</v>
      </c>
      <c r="AL894" s="80">
        <v>89</v>
      </c>
      <c r="AM894" s="80" t="s">
        <v>5614</v>
      </c>
      <c r="AN894" s="102" t="str">
        <f>HYPERLINK("https://www.youtube.com/watch?v=Vv3urftQgOU")</f>
        <v>https://www.youtube.com/watch?v=Vv3urftQgOU</v>
      </c>
      <c r="AO894" s="2"/>
      <c r="AP894" s="3"/>
      <c r="AQ894" s="3"/>
      <c r="AR894" s="3"/>
      <c r="AS894" s="3"/>
    </row>
    <row r="895" spans="1:45" ht="15">
      <c r="A895" s="66" t="s">
        <v>1070</v>
      </c>
      <c r="B895" s="67"/>
      <c r="C895" s="67"/>
      <c r="D895" s="68"/>
      <c r="E895" s="70"/>
      <c r="F895" s="100" t="str">
        <f>HYPERLINK("https://i.ytimg.com/vi/PiQodZkKTKY/default.jpg")</f>
        <v>https://i.ytimg.com/vi/PiQodZkKTKY/default.jpg</v>
      </c>
      <c r="G895" s="67"/>
      <c r="H895" s="71"/>
      <c r="I895" s="72"/>
      <c r="J895" s="72"/>
      <c r="K895" s="71" t="s">
        <v>2124</v>
      </c>
      <c r="L895" s="75"/>
      <c r="M895" s="76">
        <v>6637.65576171875</v>
      </c>
      <c r="N895" s="76">
        <v>1835.934326171875</v>
      </c>
      <c r="O895" s="77"/>
      <c r="P895" s="78"/>
      <c r="Q895" s="78"/>
      <c r="R895" s="82"/>
      <c r="S895" s="82"/>
      <c r="T895" s="82"/>
      <c r="U895" s="82"/>
      <c r="V895" s="52"/>
      <c r="W895" s="52"/>
      <c r="X895" s="52"/>
      <c r="Y895" s="52"/>
      <c r="Z895" s="51"/>
      <c r="AA895" s="73">
        <v>895</v>
      </c>
      <c r="AB895" s="73"/>
      <c r="AC895" s="74"/>
      <c r="AD895" s="80" t="s">
        <v>2124</v>
      </c>
      <c r="AE895" s="80" t="s">
        <v>3035</v>
      </c>
      <c r="AF895" s="80"/>
      <c r="AG895" s="80" t="s">
        <v>4474</v>
      </c>
      <c r="AH895" s="80" t="s">
        <v>5448</v>
      </c>
      <c r="AI895" s="80">
        <v>683</v>
      </c>
      <c r="AJ895" s="80">
        <v>0</v>
      </c>
      <c r="AK895" s="80">
        <v>4</v>
      </c>
      <c r="AL895" s="80">
        <v>0</v>
      </c>
      <c r="AM895" s="80" t="s">
        <v>5614</v>
      </c>
      <c r="AN895" s="102" t="str">
        <f>HYPERLINK("https://www.youtube.com/watch?v=PiQodZkKTKY")</f>
        <v>https://www.youtube.com/watch?v=PiQodZkKTKY</v>
      </c>
      <c r="AO895" s="2"/>
      <c r="AP895" s="3"/>
      <c r="AQ895" s="3"/>
      <c r="AR895" s="3"/>
      <c r="AS895" s="3"/>
    </row>
    <row r="896" spans="1:45" ht="15">
      <c r="A896" s="66" t="s">
        <v>1071</v>
      </c>
      <c r="B896" s="67"/>
      <c r="C896" s="67"/>
      <c r="D896" s="68"/>
      <c r="E896" s="70"/>
      <c r="F896" s="100" t="str">
        <f>HYPERLINK("https://i.ytimg.com/vi/fZi0mULsEHc/default.jpg")</f>
        <v>https://i.ytimg.com/vi/fZi0mULsEHc/default.jpg</v>
      </c>
      <c r="G896" s="67"/>
      <c r="H896" s="71"/>
      <c r="I896" s="72"/>
      <c r="J896" s="72"/>
      <c r="K896" s="71" t="s">
        <v>2125</v>
      </c>
      <c r="L896" s="75"/>
      <c r="M896" s="76">
        <v>6888.8251953125</v>
      </c>
      <c r="N896" s="76">
        <v>2125.0078125</v>
      </c>
      <c r="O896" s="77"/>
      <c r="P896" s="78"/>
      <c r="Q896" s="78"/>
      <c r="R896" s="82"/>
      <c r="S896" s="82"/>
      <c r="T896" s="82"/>
      <c r="U896" s="82"/>
      <c r="V896" s="52"/>
      <c r="W896" s="52"/>
      <c r="X896" s="52"/>
      <c r="Y896" s="52"/>
      <c r="Z896" s="51"/>
      <c r="AA896" s="73">
        <v>896</v>
      </c>
      <c r="AB896" s="73"/>
      <c r="AC896" s="74"/>
      <c r="AD896" s="80" t="s">
        <v>2125</v>
      </c>
      <c r="AE896" s="80"/>
      <c r="AF896" s="80"/>
      <c r="AG896" s="80" t="s">
        <v>3989</v>
      </c>
      <c r="AH896" s="80" t="s">
        <v>5449</v>
      </c>
      <c r="AI896" s="80">
        <v>1231</v>
      </c>
      <c r="AJ896" s="80">
        <v>0</v>
      </c>
      <c r="AK896" s="80">
        <v>46</v>
      </c>
      <c r="AL896" s="80">
        <v>0</v>
      </c>
      <c r="AM896" s="80" t="s">
        <v>5614</v>
      </c>
      <c r="AN896" s="102" t="str">
        <f>HYPERLINK("https://www.youtube.com/watch?v=fZi0mULsEHc")</f>
        <v>https://www.youtube.com/watch?v=fZi0mULsEHc</v>
      </c>
      <c r="AO896" s="2"/>
      <c r="AP896" s="3"/>
      <c r="AQ896" s="3"/>
      <c r="AR896" s="3"/>
      <c r="AS896" s="3"/>
    </row>
    <row r="897" spans="1:45" ht="15">
      <c r="A897" s="66" t="s">
        <v>1072</v>
      </c>
      <c r="B897" s="67"/>
      <c r="C897" s="67"/>
      <c r="D897" s="68"/>
      <c r="E897" s="70"/>
      <c r="F897" s="100" t="str">
        <f>HYPERLINK("https://i.ytimg.com/vi/q8fvXaUX5f4/default.jpg")</f>
        <v>https://i.ytimg.com/vi/q8fvXaUX5f4/default.jpg</v>
      </c>
      <c r="G897" s="67"/>
      <c r="H897" s="71"/>
      <c r="I897" s="72"/>
      <c r="J897" s="72"/>
      <c r="K897" s="71" t="s">
        <v>2126</v>
      </c>
      <c r="L897" s="75"/>
      <c r="M897" s="76">
        <v>6755.31005859375</v>
      </c>
      <c r="N897" s="76">
        <v>1881.2569580078125</v>
      </c>
      <c r="O897" s="77"/>
      <c r="P897" s="78"/>
      <c r="Q897" s="78"/>
      <c r="R897" s="82"/>
      <c r="S897" s="82"/>
      <c r="T897" s="82"/>
      <c r="U897" s="82"/>
      <c r="V897" s="52"/>
      <c r="W897" s="52"/>
      <c r="X897" s="52"/>
      <c r="Y897" s="52"/>
      <c r="Z897" s="51"/>
      <c r="AA897" s="73">
        <v>897</v>
      </c>
      <c r="AB897" s="73"/>
      <c r="AC897" s="74"/>
      <c r="AD897" s="80" t="s">
        <v>2126</v>
      </c>
      <c r="AE897" s="80" t="s">
        <v>3036</v>
      </c>
      <c r="AF897" s="80"/>
      <c r="AG897" s="80" t="s">
        <v>4475</v>
      </c>
      <c r="AH897" s="80" t="s">
        <v>5450</v>
      </c>
      <c r="AI897" s="80">
        <v>1690429</v>
      </c>
      <c r="AJ897" s="80">
        <v>723</v>
      </c>
      <c r="AK897" s="80">
        <v>12288</v>
      </c>
      <c r="AL897" s="80">
        <v>1154</v>
      </c>
      <c r="AM897" s="80" t="s">
        <v>5614</v>
      </c>
      <c r="AN897" s="102" t="str">
        <f>HYPERLINK("https://www.youtube.com/watch?v=q8fvXaUX5f4")</f>
        <v>https://www.youtube.com/watch?v=q8fvXaUX5f4</v>
      </c>
      <c r="AO897" s="2"/>
      <c r="AP897" s="3"/>
      <c r="AQ897" s="3"/>
      <c r="AR897" s="3"/>
      <c r="AS897" s="3"/>
    </row>
    <row r="898" spans="1:45" ht="15">
      <c r="A898" s="66" t="s">
        <v>1073</v>
      </c>
      <c r="B898" s="67"/>
      <c r="C898" s="67"/>
      <c r="D898" s="68"/>
      <c r="E898" s="70"/>
      <c r="F898" s="100" t="str">
        <f>HYPERLINK("https://i.ytimg.com/vi/Zs0WQ_qqnw8/default.jpg")</f>
        <v>https://i.ytimg.com/vi/Zs0WQ_qqnw8/default.jpg</v>
      </c>
      <c r="G898" s="67"/>
      <c r="H898" s="71"/>
      <c r="I898" s="72"/>
      <c r="J898" s="72"/>
      <c r="K898" s="71" t="s">
        <v>2127</v>
      </c>
      <c r="L898" s="75"/>
      <c r="M898" s="76">
        <v>6579.90087890625</v>
      </c>
      <c r="N898" s="76">
        <v>1910.603515625</v>
      </c>
      <c r="O898" s="77"/>
      <c r="P898" s="78"/>
      <c r="Q898" s="78"/>
      <c r="R898" s="82"/>
      <c r="S898" s="82"/>
      <c r="T898" s="82"/>
      <c r="U898" s="82"/>
      <c r="V898" s="52"/>
      <c r="W898" s="52"/>
      <c r="X898" s="52"/>
      <c r="Y898" s="52"/>
      <c r="Z898" s="51"/>
      <c r="AA898" s="73">
        <v>898</v>
      </c>
      <c r="AB898" s="73"/>
      <c r="AC898" s="74"/>
      <c r="AD898" s="80" t="s">
        <v>2127</v>
      </c>
      <c r="AE898" s="80" t="s">
        <v>3037</v>
      </c>
      <c r="AF898" s="80" t="s">
        <v>3745</v>
      </c>
      <c r="AG898" s="80" t="s">
        <v>4476</v>
      </c>
      <c r="AH898" s="80" t="s">
        <v>5451</v>
      </c>
      <c r="AI898" s="80">
        <v>55293</v>
      </c>
      <c r="AJ898" s="80">
        <v>288</v>
      </c>
      <c r="AK898" s="80">
        <v>2329</v>
      </c>
      <c r="AL898" s="80">
        <v>47</v>
      </c>
      <c r="AM898" s="80" t="s">
        <v>5614</v>
      </c>
      <c r="AN898" s="102" t="str">
        <f>HYPERLINK("https://www.youtube.com/watch?v=Zs0WQ_qqnw8")</f>
        <v>https://www.youtube.com/watch?v=Zs0WQ_qqnw8</v>
      </c>
      <c r="AO898" s="2"/>
      <c r="AP898" s="3"/>
      <c r="AQ898" s="3"/>
      <c r="AR898" s="3"/>
      <c r="AS898" s="3"/>
    </row>
    <row r="899" spans="1:45" ht="15">
      <c r="A899" s="66" t="s">
        <v>1074</v>
      </c>
      <c r="B899" s="67"/>
      <c r="C899" s="67"/>
      <c r="D899" s="68"/>
      <c r="E899" s="70"/>
      <c r="F899" s="100" t="str">
        <f>HYPERLINK("https://i.ytimg.com/vi/i4nz_93AD2Q/default.jpg")</f>
        <v>https://i.ytimg.com/vi/i4nz_93AD2Q/default.jpg</v>
      </c>
      <c r="G899" s="67"/>
      <c r="H899" s="71"/>
      <c r="I899" s="72"/>
      <c r="J899" s="72"/>
      <c r="K899" s="71" t="s">
        <v>2128</v>
      </c>
      <c r="L899" s="75"/>
      <c r="M899" s="76">
        <v>6925.0390625</v>
      </c>
      <c r="N899" s="76">
        <v>1917.2801513671875</v>
      </c>
      <c r="O899" s="77"/>
      <c r="P899" s="78"/>
      <c r="Q899" s="78"/>
      <c r="R899" s="82"/>
      <c r="S899" s="82"/>
      <c r="T899" s="82"/>
      <c r="U899" s="82"/>
      <c r="V899" s="52"/>
      <c r="W899" s="52"/>
      <c r="X899" s="52"/>
      <c r="Y899" s="52"/>
      <c r="Z899" s="51"/>
      <c r="AA899" s="73">
        <v>899</v>
      </c>
      <c r="AB899" s="73"/>
      <c r="AC899" s="74"/>
      <c r="AD899" s="80" t="s">
        <v>2128</v>
      </c>
      <c r="AE899" s="80"/>
      <c r="AF899" s="80"/>
      <c r="AG899" s="80" t="s">
        <v>3989</v>
      </c>
      <c r="AH899" s="80" t="s">
        <v>5452</v>
      </c>
      <c r="AI899" s="80">
        <v>680</v>
      </c>
      <c r="AJ899" s="80">
        <v>2</v>
      </c>
      <c r="AK899" s="80">
        <v>24</v>
      </c>
      <c r="AL899" s="80">
        <v>0</v>
      </c>
      <c r="AM899" s="80" t="s">
        <v>5614</v>
      </c>
      <c r="AN899" s="102" t="str">
        <f>HYPERLINK("https://www.youtube.com/watch?v=i4nz_93AD2Q")</f>
        <v>https://www.youtube.com/watch?v=i4nz_93AD2Q</v>
      </c>
      <c r="AO899" s="2"/>
      <c r="AP899" s="3"/>
      <c r="AQ899" s="3"/>
      <c r="AR899" s="3"/>
      <c r="AS899" s="3"/>
    </row>
    <row r="900" spans="1:45" ht="15">
      <c r="A900" s="66" t="s">
        <v>1075</v>
      </c>
      <c r="B900" s="67"/>
      <c r="C900" s="67"/>
      <c r="D900" s="68"/>
      <c r="E900" s="70"/>
      <c r="F900" s="100" t="str">
        <f>HYPERLINK("https://i.ytimg.com/vi/vuj5GbLxIrI/default.jpg")</f>
        <v>https://i.ytimg.com/vi/vuj5GbLxIrI/default.jpg</v>
      </c>
      <c r="G900" s="67"/>
      <c r="H900" s="71"/>
      <c r="I900" s="72"/>
      <c r="J900" s="72"/>
      <c r="K900" s="71" t="s">
        <v>2129</v>
      </c>
      <c r="L900" s="75"/>
      <c r="M900" s="76">
        <v>7074.89453125</v>
      </c>
      <c r="N900" s="76">
        <v>2032.8421630859375</v>
      </c>
      <c r="O900" s="77"/>
      <c r="P900" s="78"/>
      <c r="Q900" s="78"/>
      <c r="R900" s="82"/>
      <c r="S900" s="82"/>
      <c r="T900" s="82"/>
      <c r="U900" s="82"/>
      <c r="V900" s="52"/>
      <c r="W900" s="52"/>
      <c r="X900" s="52"/>
      <c r="Y900" s="52"/>
      <c r="Z900" s="51"/>
      <c r="AA900" s="73">
        <v>900</v>
      </c>
      <c r="AB900" s="73"/>
      <c r="AC900" s="74"/>
      <c r="AD900" s="80" t="s">
        <v>2129</v>
      </c>
      <c r="AE900" s="80" t="s">
        <v>3038</v>
      </c>
      <c r="AF900" s="80"/>
      <c r="AG900" s="80" t="s">
        <v>3989</v>
      </c>
      <c r="AH900" s="80" t="s">
        <v>5453</v>
      </c>
      <c r="AI900" s="80">
        <v>211</v>
      </c>
      <c r="AJ900" s="80">
        <v>0</v>
      </c>
      <c r="AK900" s="80">
        <v>6</v>
      </c>
      <c r="AL900" s="80">
        <v>0</v>
      </c>
      <c r="AM900" s="80" t="s">
        <v>5614</v>
      </c>
      <c r="AN900" s="102" t="str">
        <f>HYPERLINK("https://www.youtube.com/watch?v=vuj5GbLxIrI")</f>
        <v>https://www.youtube.com/watch?v=vuj5GbLxIrI</v>
      </c>
      <c r="AO900" s="2"/>
      <c r="AP900" s="3"/>
      <c r="AQ900" s="3"/>
      <c r="AR900" s="3"/>
      <c r="AS900" s="3"/>
    </row>
    <row r="901" spans="1:45" ht="15">
      <c r="A901" s="66" t="s">
        <v>1076</v>
      </c>
      <c r="B901" s="67"/>
      <c r="C901" s="67"/>
      <c r="D901" s="68"/>
      <c r="E901" s="70"/>
      <c r="F901" s="100" t="str">
        <f>HYPERLINK("https://i.ytimg.com/vi/FPjAXI0UHC8/default.jpg")</f>
        <v>https://i.ytimg.com/vi/FPjAXI0UHC8/default.jpg</v>
      </c>
      <c r="G901" s="67"/>
      <c r="H901" s="71"/>
      <c r="I901" s="72"/>
      <c r="J901" s="72"/>
      <c r="K901" s="71" t="s">
        <v>2130</v>
      </c>
      <c r="L901" s="75"/>
      <c r="M901" s="76">
        <v>6544.9716796875</v>
      </c>
      <c r="N901" s="76">
        <v>3485.794677734375</v>
      </c>
      <c r="O901" s="77"/>
      <c r="P901" s="78"/>
      <c r="Q901" s="78"/>
      <c r="R901" s="82"/>
      <c r="S901" s="82"/>
      <c r="T901" s="82"/>
      <c r="U901" s="82"/>
      <c r="V901" s="52"/>
      <c r="W901" s="52"/>
      <c r="X901" s="52"/>
      <c r="Y901" s="52"/>
      <c r="Z901" s="51"/>
      <c r="AA901" s="73">
        <v>901</v>
      </c>
      <c r="AB901" s="73"/>
      <c r="AC901" s="74"/>
      <c r="AD901" s="80" t="s">
        <v>2130</v>
      </c>
      <c r="AE901" s="80" t="s">
        <v>3039</v>
      </c>
      <c r="AF901" s="80" t="s">
        <v>3746</v>
      </c>
      <c r="AG901" s="80" t="s">
        <v>4048</v>
      </c>
      <c r="AH901" s="80" t="s">
        <v>5454</v>
      </c>
      <c r="AI901" s="80">
        <v>19036</v>
      </c>
      <c r="AJ901" s="80">
        <v>40</v>
      </c>
      <c r="AK901" s="80">
        <v>431</v>
      </c>
      <c r="AL901" s="80">
        <v>15</v>
      </c>
      <c r="AM901" s="80" t="s">
        <v>5614</v>
      </c>
      <c r="AN901" s="102" t="str">
        <f>HYPERLINK("https://www.youtube.com/watch?v=FPjAXI0UHC8")</f>
        <v>https://www.youtube.com/watch?v=FPjAXI0UHC8</v>
      </c>
      <c r="AO901" s="2"/>
      <c r="AP901" s="3"/>
      <c r="AQ901" s="3"/>
      <c r="AR901" s="3"/>
      <c r="AS901" s="3"/>
    </row>
    <row r="902" spans="1:45" ht="15">
      <c r="A902" s="66" t="s">
        <v>1077</v>
      </c>
      <c r="B902" s="67"/>
      <c r="C902" s="67"/>
      <c r="D902" s="68"/>
      <c r="E902" s="70"/>
      <c r="F902" s="100" t="str">
        <f>HYPERLINK("https://i.ytimg.com/vi/xy30B4sgD6I/default.jpg")</f>
        <v>https://i.ytimg.com/vi/xy30B4sgD6I/default.jpg</v>
      </c>
      <c r="G902" s="67"/>
      <c r="H902" s="71"/>
      <c r="I902" s="72"/>
      <c r="J902" s="72"/>
      <c r="K902" s="71" t="s">
        <v>2131</v>
      </c>
      <c r="L902" s="75"/>
      <c r="M902" s="76">
        <v>5547.26171875</v>
      </c>
      <c r="N902" s="76">
        <v>4453.16650390625</v>
      </c>
      <c r="O902" s="77"/>
      <c r="P902" s="78"/>
      <c r="Q902" s="78"/>
      <c r="R902" s="82"/>
      <c r="S902" s="82"/>
      <c r="T902" s="82"/>
      <c r="U902" s="82"/>
      <c r="V902" s="52"/>
      <c r="W902" s="52"/>
      <c r="X902" s="52"/>
      <c r="Y902" s="52"/>
      <c r="Z902" s="51"/>
      <c r="AA902" s="73">
        <v>902</v>
      </c>
      <c r="AB902" s="73"/>
      <c r="AC902" s="74"/>
      <c r="AD902" s="80" t="s">
        <v>2131</v>
      </c>
      <c r="AE902" s="80" t="s">
        <v>3040</v>
      </c>
      <c r="AF902" s="80" t="s">
        <v>3747</v>
      </c>
      <c r="AG902" s="80" t="s">
        <v>4048</v>
      </c>
      <c r="AH902" s="80" t="s">
        <v>5455</v>
      </c>
      <c r="AI902" s="80">
        <v>1268</v>
      </c>
      <c r="AJ902" s="80">
        <v>1</v>
      </c>
      <c r="AK902" s="80">
        <v>17</v>
      </c>
      <c r="AL902" s="80">
        <v>0</v>
      </c>
      <c r="AM902" s="80" t="s">
        <v>5614</v>
      </c>
      <c r="AN902" s="102" t="str">
        <f>HYPERLINK("https://www.youtube.com/watch?v=xy30B4sgD6I")</f>
        <v>https://www.youtube.com/watch?v=xy30B4sgD6I</v>
      </c>
      <c r="AO902" s="2"/>
      <c r="AP902" s="3"/>
      <c r="AQ902" s="3"/>
      <c r="AR902" s="3"/>
      <c r="AS902" s="3"/>
    </row>
    <row r="903" spans="1:45" ht="15">
      <c r="A903" s="66" t="s">
        <v>1078</v>
      </c>
      <c r="B903" s="67"/>
      <c r="C903" s="67"/>
      <c r="D903" s="68"/>
      <c r="E903" s="70"/>
      <c r="F903" s="100" t="str">
        <f>HYPERLINK("https://i.ytimg.com/vi/DVD2MvlgUpU/default.jpg")</f>
        <v>https://i.ytimg.com/vi/DVD2MvlgUpU/default.jpg</v>
      </c>
      <c r="G903" s="67"/>
      <c r="H903" s="71"/>
      <c r="I903" s="72"/>
      <c r="J903" s="72"/>
      <c r="K903" s="71" t="s">
        <v>2132</v>
      </c>
      <c r="L903" s="75"/>
      <c r="M903" s="76">
        <v>6364.35546875</v>
      </c>
      <c r="N903" s="76">
        <v>3562.387451171875</v>
      </c>
      <c r="O903" s="77"/>
      <c r="P903" s="78"/>
      <c r="Q903" s="78"/>
      <c r="R903" s="82"/>
      <c r="S903" s="82"/>
      <c r="T903" s="82"/>
      <c r="U903" s="82"/>
      <c r="V903" s="52"/>
      <c r="W903" s="52"/>
      <c r="X903" s="52"/>
      <c r="Y903" s="52"/>
      <c r="Z903" s="51"/>
      <c r="AA903" s="73">
        <v>903</v>
      </c>
      <c r="AB903" s="73"/>
      <c r="AC903" s="74"/>
      <c r="AD903" s="80" t="s">
        <v>2132</v>
      </c>
      <c r="AE903" s="80" t="s">
        <v>3041</v>
      </c>
      <c r="AF903" s="80" t="s">
        <v>3748</v>
      </c>
      <c r="AG903" s="80" t="s">
        <v>4477</v>
      </c>
      <c r="AH903" s="80" t="s">
        <v>5456</v>
      </c>
      <c r="AI903" s="80">
        <v>388739</v>
      </c>
      <c r="AJ903" s="80">
        <v>74</v>
      </c>
      <c r="AK903" s="80">
        <v>1137</v>
      </c>
      <c r="AL903" s="80">
        <v>142</v>
      </c>
      <c r="AM903" s="80" t="s">
        <v>5614</v>
      </c>
      <c r="AN903" s="102" t="str">
        <f>HYPERLINK("https://www.youtube.com/watch?v=DVD2MvlgUpU")</f>
        <v>https://www.youtube.com/watch?v=DVD2MvlgUpU</v>
      </c>
      <c r="AO903" s="2"/>
      <c r="AP903" s="3"/>
      <c r="AQ903" s="3"/>
      <c r="AR903" s="3"/>
      <c r="AS903" s="3"/>
    </row>
    <row r="904" spans="1:45" ht="15">
      <c r="A904" s="66" t="s">
        <v>1079</v>
      </c>
      <c r="B904" s="67"/>
      <c r="C904" s="67"/>
      <c r="D904" s="68"/>
      <c r="E904" s="70"/>
      <c r="F904" s="100" t="str">
        <f>HYPERLINK("https://i.ytimg.com/vi/dy4On_Q2cyI/default.jpg")</f>
        <v>https://i.ytimg.com/vi/dy4On_Q2cyI/default.jpg</v>
      </c>
      <c r="G904" s="67"/>
      <c r="H904" s="71"/>
      <c r="I904" s="72"/>
      <c r="J904" s="72"/>
      <c r="K904" s="71" t="s">
        <v>2133</v>
      </c>
      <c r="L904" s="75"/>
      <c r="M904" s="76">
        <v>5628.59912109375</v>
      </c>
      <c r="N904" s="76">
        <v>4105.98876953125</v>
      </c>
      <c r="O904" s="77"/>
      <c r="P904" s="78"/>
      <c r="Q904" s="78"/>
      <c r="R904" s="82"/>
      <c r="S904" s="82"/>
      <c r="T904" s="82"/>
      <c r="U904" s="82"/>
      <c r="V904" s="52"/>
      <c r="W904" s="52"/>
      <c r="X904" s="52"/>
      <c r="Y904" s="52"/>
      <c r="Z904" s="51"/>
      <c r="AA904" s="73">
        <v>904</v>
      </c>
      <c r="AB904" s="73"/>
      <c r="AC904" s="74"/>
      <c r="AD904" s="80" t="s">
        <v>2133</v>
      </c>
      <c r="AE904" s="80" t="s">
        <v>3042</v>
      </c>
      <c r="AF904" s="80" t="s">
        <v>3749</v>
      </c>
      <c r="AG904" s="80" t="s">
        <v>4478</v>
      </c>
      <c r="AH904" s="80" t="s">
        <v>5457</v>
      </c>
      <c r="AI904" s="80">
        <v>92959</v>
      </c>
      <c r="AJ904" s="80">
        <v>190</v>
      </c>
      <c r="AK904" s="80">
        <v>2877</v>
      </c>
      <c r="AL904" s="80">
        <v>105</v>
      </c>
      <c r="AM904" s="80" t="s">
        <v>5614</v>
      </c>
      <c r="AN904" s="102" t="str">
        <f>HYPERLINK("https://www.youtube.com/watch?v=dy4On_Q2cyI")</f>
        <v>https://www.youtube.com/watch?v=dy4On_Q2cyI</v>
      </c>
      <c r="AO904" s="2"/>
      <c r="AP904" s="3"/>
      <c r="AQ904" s="3"/>
      <c r="AR904" s="3"/>
      <c r="AS904" s="3"/>
    </row>
    <row r="905" spans="1:45" ht="15">
      <c r="A905" s="66" t="s">
        <v>1080</v>
      </c>
      <c r="B905" s="67"/>
      <c r="C905" s="67"/>
      <c r="D905" s="68"/>
      <c r="E905" s="70"/>
      <c r="F905" s="100" t="str">
        <f>HYPERLINK("https://i.ytimg.com/vi/Ni-hgczxhYg/default.jpg")</f>
        <v>https://i.ytimg.com/vi/Ni-hgczxhYg/default.jpg</v>
      </c>
      <c r="G905" s="67"/>
      <c r="H905" s="71"/>
      <c r="I905" s="72"/>
      <c r="J905" s="72"/>
      <c r="K905" s="71" t="s">
        <v>2134</v>
      </c>
      <c r="L905" s="75"/>
      <c r="M905" s="76">
        <v>5071.36279296875</v>
      </c>
      <c r="N905" s="76">
        <v>3417.824951171875</v>
      </c>
      <c r="O905" s="77"/>
      <c r="P905" s="78"/>
      <c r="Q905" s="78"/>
      <c r="R905" s="82"/>
      <c r="S905" s="82"/>
      <c r="T905" s="82"/>
      <c r="U905" s="82"/>
      <c r="V905" s="52"/>
      <c r="W905" s="52"/>
      <c r="X905" s="52"/>
      <c r="Y905" s="52"/>
      <c r="Z905" s="51"/>
      <c r="AA905" s="73">
        <v>905</v>
      </c>
      <c r="AB905" s="73"/>
      <c r="AC905" s="74"/>
      <c r="AD905" s="80" t="s">
        <v>2134</v>
      </c>
      <c r="AE905" s="80"/>
      <c r="AF905" s="80"/>
      <c r="AG905" s="80" t="s">
        <v>4479</v>
      </c>
      <c r="AH905" s="80" t="s">
        <v>5458</v>
      </c>
      <c r="AI905" s="80">
        <v>7427</v>
      </c>
      <c r="AJ905" s="80">
        <v>3</v>
      </c>
      <c r="AK905" s="80">
        <v>115</v>
      </c>
      <c r="AL905" s="80">
        <v>7</v>
      </c>
      <c r="AM905" s="80" t="s">
        <v>5614</v>
      </c>
      <c r="AN905" s="102" t="str">
        <f>HYPERLINK("https://www.youtube.com/watch?v=Ni-hgczxhYg")</f>
        <v>https://www.youtube.com/watch?v=Ni-hgczxhYg</v>
      </c>
      <c r="AO905" s="2"/>
      <c r="AP905" s="3"/>
      <c r="AQ905" s="3"/>
      <c r="AR905" s="3"/>
      <c r="AS905" s="3"/>
    </row>
    <row r="906" spans="1:45" ht="15">
      <c r="A906" s="66" t="s">
        <v>1081</v>
      </c>
      <c r="B906" s="67"/>
      <c r="C906" s="67"/>
      <c r="D906" s="68"/>
      <c r="E906" s="70"/>
      <c r="F906" s="100" t="str">
        <f>HYPERLINK("https://i.ytimg.com/vi/Nevsl3HUzUk/default.jpg")</f>
        <v>https://i.ytimg.com/vi/Nevsl3HUzUk/default.jpg</v>
      </c>
      <c r="G906" s="67"/>
      <c r="H906" s="71"/>
      <c r="I906" s="72"/>
      <c r="J906" s="72"/>
      <c r="K906" s="71" t="s">
        <v>2135</v>
      </c>
      <c r="L906" s="75"/>
      <c r="M906" s="76">
        <v>6471.47607421875</v>
      </c>
      <c r="N906" s="76">
        <v>3381.947509765625</v>
      </c>
      <c r="O906" s="77"/>
      <c r="P906" s="78"/>
      <c r="Q906" s="78"/>
      <c r="R906" s="82"/>
      <c r="S906" s="82"/>
      <c r="T906" s="82"/>
      <c r="U906" s="82"/>
      <c r="V906" s="52"/>
      <c r="W906" s="52"/>
      <c r="X906" s="52"/>
      <c r="Y906" s="52"/>
      <c r="Z906" s="51"/>
      <c r="AA906" s="73">
        <v>906</v>
      </c>
      <c r="AB906" s="73"/>
      <c r="AC906" s="74"/>
      <c r="AD906" s="80" t="s">
        <v>2135</v>
      </c>
      <c r="AE906" s="80" t="s">
        <v>3043</v>
      </c>
      <c r="AF906" s="80"/>
      <c r="AG906" s="80" t="s">
        <v>4480</v>
      </c>
      <c r="AH906" s="80" t="s">
        <v>5459</v>
      </c>
      <c r="AI906" s="80">
        <v>139977</v>
      </c>
      <c r="AJ906" s="80">
        <v>291</v>
      </c>
      <c r="AK906" s="80">
        <v>4516</v>
      </c>
      <c r="AL906" s="80">
        <v>72</v>
      </c>
      <c r="AM906" s="80" t="s">
        <v>5614</v>
      </c>
      <c r="AN906" s="102" t="str">
        <f>HYPERLINK("https://www.youtube.com/watch?v=Nevsl3HUzUk")</f>
        <v>https://www.youtube.com/watch?v=Nevsl3HUzUk</v>
      </c>
      <c r="AO906" s="2"/>
      <c r="AP906" s="3"/>
      <c r="AQ906" s="3"/>
      <c r="AR906" s="3"/>
      <c r="AS906" s="3"/>
    </row>
    <row r="907" spans="1:45" ht="15">
      <c r="A907" s="66" t="s">
        <v>1082</v>
      </c>
      <c r="B907" s="67"/>
      <c r="C907" s="67"/>
      <c r="D907" s="68"/>
      <c r="E907" s="70"/>
      <c r="F907" s="100" t="str">
        <f>HYPERLINK("https://i.ytimg.com/vi/CzEwnH1OnnA/default.jpg")</f>
        <v>https://i.ytimg.com/vi/CzEwnH1OnnA/default.jpg</v>
      </c>
      <c r="G907" s="67"/>
      <c r="H907" s="71"/>
      <c r="I907" s="72"/>
      <c r="J907" s="72"/>
      <c r="K907" s="71" t="s">
        <v>2136</v>
      </c>
      <c r="L907" s="75"/>
      <c r="M907" s="76">
        <v>5956.00830078125</v>
      </c>
      <c r="N907" s="76">
        <v>3238.953125</v>
      </c>
      <c r="O907" s="77"/>
      <c r="P907" s="78"/>
      <c r="Q907" s="78"/>
      <c r="R907" s="82"/>
      <c r="S907" s="82"/>
      <c r="T907" s="82"/>
      <c r="U907" s="82"/>
      <c r="V907" s="52"/>
      <c r="W907" s="52"/>
      <c r="X907" s="52"/>
      <c r="Y907" s="52"/>
      <c r="Z907" s="51"/>
      <c r="AA907" s="73">
        <v>907</v>
      </c>
      <c r="AB907" s="73"/>
      <c r="AC907" s="74"/>
      <c r="AD907" s="80" t="s">
        <v>2136</v>
      </c>
      <c r="AE907" s="80" t="s">
        <v>3044</v>
      </c>
      <c r="AF907" s="80" t="s">
        <v>3750</v>
      </c>
      <c r="AG907" s="80" t="s">
        <v>4481</v>
      </c>
      <c r="AH907" s="80" t="s">
        <v>5460</v>
      </c>
      <c r="AI907" s="80">
        <v>17428</v>
      </c>
      <c r="AJ907" s="80">
        <v>3</v>
      </c>
      <c r="AK907" s="80">
        <v>99</v>
      </c>
      <c r="AL907" s="80">
        <v>0</v>
      </c>
      <c r="AM907" s="80" t="s">
        <v>5614</v>
      </c>
      <c r="AN907" s="102" t="str">
        <f>HYPERLINK("https://www.youtube.com/watch?v=CzEwnH1OnnA")</f>
        <v>https://www.youtube.com/watch?v=CzEwnH1OnnA</v>
      </c>
      <c r="AO907" s="2"/>
      <c r="AP907" s="3"/>
      <c r="AQ907" s="3"/>
      <c r="AR907" s="3"/>
      <c r="AS907" s="3"/>
    </row>
    <row r="908" spans="1:45" ht="15">
      <c r="A908" s="66" t="s">
        <v>1083</v>
      </c>
      <c r="B908" s="67"/>
      <c r="C908" s="67"/>
      <c r="D908" s="68"/>
      <c r="E908" s="70"/>
      <c r="F908" s="100" t="str">
        <f>HYPERLINK("https://i.ytimg.com/vi/cucK3A0BXEk/default.jpg")</f>
        <v>https://i.ytimg.com/vi/cucK3A0BXEk/default.jpg</v>
      </c>
      <c r="G908" s="67"/>
      <c r="H908" s="71"/>
      <c r="I908" s="72"/>
      <c r="J908" s="72"/>
      <c r="K908" s="71" t="s">
        <v>2137</v>
      </c>
      <c r="L908" s="75"/>
      <c r="M908" s="76">
        <v>6608.03125</v>
      </c>
      <c r="N908" s="76">
        <v>3290.5302734375</v>
      </c>
      <c r="O908" s="77"/>
      <c r="P908" s="78"/>
      <c r="Q908" s="78"/>
      <c r="R908" s="82"/>
      <c r="S908" s="82"/>
      <c r="T908" s="82"/>
      <c r="U908" s="82"/>
      <c r="V908" s="52"/>
      <c r="W908" s="52"/>
      <c r="X908" s="52"/>
      <c r="Y908" s="52"/>
      <c r="Z908" s="51"/>
      <c r="AA908" s="73">
        <v>908</v>
      </c>
      <c r="AB908" s="73"/>
      <c r="AC908" s="74"/>
      <c r="AD908" s="80" t="s">
        <v>2137</v>
      </c>
      <c r="AE908" s="80" t="s">
        <v>3045</v>
      </c>
      <c r="AF908" s="80" t="s">
        <v>3751</v>
      </c>
      <c r="AG908" s="80" t="s">
        <v>4482</v>
      </c>
      <c r="AH908" s="80" t="s">
        <v>5461</v>
      </c>
      <c r="AI908" s="80">
        <v>726800</v>
      </c>
      <c r="AJ908" s="80">
        <v>95</v>
      </c>
      <c r="AK908" s="80">
        <v>4752</v>
      </c>
      <c r="AL908" s="80">
        <v>291</v>
      </c>
      <c r="AM908" s="80" t="s">
        <v>5614</v>
      </c>
      <c r="AN908" s="102" t="str">
        <f>HYPERLINK("https://www.youtube.com/watch?v=cucK3A0BXEk")</f>
        <v>https://www.youtube.com/watch?v=cucK3A0BXEk</v>
      </c>
      <c r="AO908" s="2"/>
      <c r="AP908" s="3"/>
      <c r="AQ908" s="3"/>
      <c r="AR908" s="3"/>
      <c r="AS908" s="3"/>
    </row>
    <row r="909" spans="1:45" ht="15">
      <c r="A909" s="66" t="s">
        <v>1084</v>
      </c>
      <c r="B909" s="67"/>
      <c r="C909" s="67"/>
      <c r="D909" s="68"/>
      <c r="E909" s="70"/>
      <c r="F909" s="100" t="str">
        <f>HYPERLINK("https://i.ytimg.com/vi/tzjLKH8Sf2g/default.jpg")</f>
        <v>https://i.ytimg.com/vi/tzjLKH8Sf2g/default.jpg</v>
      </c>
      <c r="G909" s="67"/>
      <c r="H909" s="71"/>
      <c r="I909" s="72"/>
      <c r="J909" s="72"/>
      <c r="K909" s="71" t="s">
        <v>2138</v>
      </c>
      <c r="L909" s="75"/>
      <c r="M909" s="76">
        <v>7101.267578125</v>
      </c>
      <c r="N909" s="76">
        <v>3664.884765625</v>
      </c>
      <c r="O909" s="77"/>
      <c r="P909" s="78"/>
      <c r="Q909" s="78"/>
      <c r="R909" s="82"/>
      <c r="S909" s="82"/>
      <c r="T909" s="82"/>
      <c r="U909" s="82"/>
      <c r="V909" s="52"/>
      <c r="W909" s="52"/>
      <c r="X909" s="52"/>
      <c r="Y909" s="52"/>
      <c r="Z909" s="51"/>
      <c r="AA909" s="73">
        <v>909</v>
      </c>
      <c r="AB909" s="73"/>
      <c r="AC909" s="74"/>
      <c r="AD909" s="80" t="s">
        <v>2138</v>
      </c>
      <c r="AE909" s="80" t="s">
        <v>3046</v>
      </c>
      <c r="AF909" s="80"/>
      <c r="AG909" s="80" t="s">
        <v>4483</v>
      </c>
      <c r="AH909" s="80" t="s">
        <v>5462</v>
      </c>
      <c r="AI909" s="80">
        <v>14053</v>
      </c>
      <c r="AJ909" s="80">
        <v>0</v>
      </c>
      <c r="AK909" s="80">
        <v>160</v>
      </c>
      <c r="AL909" s="80">
        <v>13</v>
      </c>
      <c r="AM909" s="80" t="s">
        <v>5614</v>
      </c>
      <c r="AN909" s="102" t="str">
        <f>HYPERLINK("https://www.youtube.com/watch?v=tzjLKH8Sf2g")</f>
        <v>https://www.youtube.com/watch?v=tzjLKH8Sf2g</v>
      </c>
      <c r="AO909" s="2"/>
      <c r="AP909" s="3"/>
      <c r="AQ909" s="3"/>
      <c r="AR909" s="3"/>
      <c r="AS909" s="3"/>
    </row>
    <row r="910" spans="1:45" ht="15">
      <c r="A910" s="66" t="s">
        <v>1085</v>
      </c>
      <c r="B910" s="67"/>
      <c r="C910" s="67"/>
      <c r="D910" s="68"/>
      <c r="E910" s="70"/>
      <c r="F910" s="100" t="str">
        <f>HYPERLINK("https://i.ytimg.com/vi/REcTR_ksglE/default.jpg")</f>
        <v>https://i.ytimg.com/vi/REcTR_ksglE/default.jpg</v>
      </c>
      <c r="G910" s="67"/>
      <c r="H910" s="71"/>
      <c r="I910" s="72"/>
      <c r="J910" s="72"/>
      <c r="K910" s="71" t="s">
        <v>2139</v>
      </c>
      <c r="L910" s="75"/>
      <c r="M910" s="76">
        <v>6663.3955078125</v>
      </c>
      <c r="N910" s="76">
        <v>3706.814208984375</v>
      </c>
      <c r="O910" s="77"/>
      <c r="P910" s="78"/>
      <c r="Q910" s="78"/>
      <c r="R910" s="82"/>
      <c r="S910" s="82"/>
      <c r="T910" s="82"/>
      <c r="U910" s="82"/>
      <c r="V910" s="52"/>
      <c r="W910" s="52"/>
      <c r="X910" s="52"/>
      <c r="Y910" s="52"/>
      <c r="Z910" s="51"/>
      <c r="AA910" s="73">
        <v>910</v>
      </c>
      <c r="AB910" s="73"/>
      <c r="AC910" s="74"/>
      <c r="AD910" s="80" t="s">
        <v>2139</v>
      </c>
      <c r="AE910" s="80"/>
      <c r="AF910" s="80"/>
      <c r="AG910" s="80" t="s">
        <v>4484</v>
      </c>
      <c r="AH910" s="80" t="s">
        <v>5463</v>
      </c>
      <c r="AI910" s="80">
        <v>1110</v>
      </c>
      <c r="AJ910" s="80">
        <v>0</v>
      </c>
      <c r="AK910" s="80">
        <v>6</v>
      </c>
      <c r="AL910" s="80">
        <v>0</v>
      </c>
      <c r="AM910" s="80" t="s">
        <v>5614</v>
      </c>
      <c r="AN910" s="102" t="str">
        <f>HYPERLINK("https://www.youtube.com/watch?v=REcTR_ksglE")</f>
        <v>https://www.youtube.com/watch?v=REcTR_ksglE</v>
      </c>
      <c r="AO910" s="2"/>
      <c r="AP910" s="3"/>
      <c r="AQ910" s="3"/>
      <c r="AR910" s="3"/>
      <c r="AS910" s="3"/>
    </row>
    <row r="911" spans="1:45" ht="15">
      <c r="A911" s="66" t="s">
        <v>1086</v>
      </c>
      <c r="B911" s="67"/>
      <c r="C911" s="67"/>
      <c r="D911" s="68"/>
      <c r="E911" s="70"/>
      <c r="F911" s="100" t="str">
        <f>HYPERLINK("https://i.ytimg.com/vi/pWBC0tE4unQ/default.jpg")</f>
        <v>https://i.ytimg.com/vi/pWBC0tE4unQ/default.jpg</v>
      </c>
      <c r="G911" s="67"/>
      <c r="H911" s="71"/>
      <c r="I911" s="72"/>
      <c r="J911" s="72"/>
      <c r="K911" s="71" t="s">
        <v>2140</v>
      </c>
      <c r="L911" s="75"/>
      <c r="M911" s="76">
        <v>5687.0458984375</v>
      </c>
      <c r="N911" s="76">
        <v>3212.9736328125</v>
      </c>
      <c r="O911" s="77"/>
      <c r="P911" s="78"/>
      <c r="Q911" s="78"/>
      <c r="R911" s="82"/>
      <c r="S911" s="82"/>
      <c r="T911" s="82"/>
      <c r="U911" s="82"/>
      <c r="V911" s="52"/>
      <c r="W911" s="52"/>
      <c r="X911" s="52"/>
      <c r="Y911" s="52"/>
      <c r="Z911" s="51"/>
      <c r="AA911" s="73">
        <v>911</v>
      </c>
      <c r="AB911" s="73"/>
      <c r="AC911" s="74"/>
      <c r="AD911" s="80" t="s">
        <v>2140</v>
      </c>
      <c r="AE911" s="80"/>
      <c r="AF911" s="80"/>
      <c r="AG911" s="80" t="s">
        <v>4485</v>
      </c>
      <c r="AH911" s="80" t="s">
        <v>5464</v>
      </c>
      <c r="AI911" s="80">
        <v>1253</v>
      </c>
      <c r="AJ911" s="80">
        <v>0</v>
      </c>
      <c r="AK911" s="80">
        <v>4</v>
      </c>
      <c r="AL911" s="80">
        <v>0</v>
      </c>
      <c r="AM911" s="80" t="s">
        <v>5614</v>
      </c>
      <c r="AN911" s="102" t="str">
        <f>HYPERLINK("https://www.youtube.com/watch?v=pWBC0tE4unQ")</f>
        <v>https://www.youtube.com/watch?v=pWBC0tE4unQ</v>
      </c>
      <c r="AO911" s="2"/>
      <c r="AP911" s="3"/>
      <c r="AQ911" s="3"/>
      <c r="AR911" s="3"/>
      <c r="AS911" s="3"/>
    </row>
    <row r="912" spans="1:45" ht="15">
      <c r="A912" s="66" t="s">
        <v>1087</v>
      </c>
      <c r="B912" s="67"/>
      <c r="C912" s="67"/>
      <c r="D912" s="68"/>
      <c r="E912" s="70"/>
      <c r="F912" s="100" t="str">
        <f>HYPERLINK("https://i.ytimg.com/vi/PYnOomGv26w/default.jpg")</f>
        <v>https://i.ytimg.com/vi/PYnOomGv26w/default.jpg</v>
      </c>
      <c r="G912" s="67"/>
      <c r="H912" s="71"/>
      <c r="I912" s="72"/>
      <c r="J912" s="72"/>
      <c r="K912" s="71" t="s">
        <v>2141</v>
      </c>
      <c r="L912" s="75"/>
      <c r="M912" s="76">
        <v>6834.98583984375</v>
      </c>
      <c r="N912" s="76">
        <v>3471.4130859375</v>
      </c>
      <c r="O912" s="77"/>
      <c r="P912" s="78"/>
      <c r="Q912" s="78"/>
      <c r="R912" s="82"/>
      <c r="S912" s="82"/>
      <c r="T912" s="82"/>
      <c r="U912" s="82"/>
      <c r="V912" s="52"/>
      <c r="W912" s="52"/>
      <c r="X912" s="52"/>
      <c r="Y912" s="52"/>
      <c r="Z912" s="51"/>
      <c r="AA912" s="73">
        <v>912</v>
      </c>
      <c r="AB912" s="73"/>
      <c r="AC912" s="74"/>
      <c r="AD912" s="80" t="s">
        <v>2141</v>
      </c>
      <c r="AE912" s="80" t="s">
        <v>3047</v>
      </c>
      <c r="AF912" s="80" t="s">
        <v>3752</v>
      </c>
      <c r="AG912" s="80" t="s">
        <v>4486</v>
      </c>
      <c r="AH912" s="80" t="s">
        <v>5465</v>
      </c>
      <c r="AI912" s="80">
        <v>810213</v>
      </c>
      <c r="AJ912" s="80">
        <v>300</v>
      </c>
      <c r="AK912" s="80">
        <v>7437</v>
      </c>
      <c r="AL912" s="80">
        <v>440</v>
      </c>
      <c r="AM912" s="80" t="s">
        <v>5614</v>
      </c>
      <c r="AN912" s="102" t="str">
        <f>HYPERLINK("https://www.youtube.com/watch?v=PYnOomGv26w")</f>
        <v>https://www.youtube.com/watch?v=PYnOomGv26w</v>
      </c>
      <c r="AO912" s="2"/>
      <c r="AP912" s="3"/>
      <c r="AQ912" s="3"/>
      <c r="AR912" s="3"/>
      <c r="AS912" s="3"/>
    </row>
    <row r="913" spans="1:45" ht="15">
      <c r="A913" s="66" t="s">
        <v>1088</v>
      </c>
      <c r="B913" s="67"/>
      <c r="C913" s="67"/>
      <c r="D913" s="68"/>
      <c r="E913" s="70"/>
      <c r="F913" s="100" t="str">
        <f>HYPERLINK("https://i.ytimg.com/vi/ZSl4BePAqAg/default.jpg")</f>
        <v>https://i.ytimg.com/vi/ZSl4BePAqAg/default.jpg</v>
      </c>
      <c r="G913" s="67"/>
      <c r="H913" s="71"/>
      <c r="I913" s="72"/>
      <c r="J913" s="72"/>
      <c r="K913" s="71" t="s">
        <v>2142</v>
      </c>
      <c r="L913" s="75"/>
      <c r="M913" s="76">
        <v>7096.18896484375</v>
      </c>
      <c r="N913" s="76">
        <v>3586.148681640625</v>
      </c>
      <c r="O913" s="77"/>
      <c r="P913" s="78"/>
      <c r="Q913" s="78"/>
      <c r="R913" s="82"/>
      <c r="S913" s="82"/>
      <c r="T913" s="82"/>
      <c r="U913" s="82"/>
      <c r="V913" s="52"/>
      <c r="W913" s="52"/>
      <c r="X913" s="52"/>
      <c r="Y913" s="52"/>
      <c r="Z913" s="51"/>
      <c r="AA913" s="73">
        <v>913</v>
      </c>
      <c r="AB913" s="73"/>
      <c r="AC913" s="74"/>
      <c r="AD913" s="80" t="s">
        <v>2142</v>
      </c>
      <c r="AE913" s="80" t="s">
        <v>3048</v>
      </c>
      <c r="AF913" s="80" t="s">
        <v>3753</v>
      </c>
      <c r="AG913" s="80" t="s">
        <v>4048</v>
      </c>
      <c r="AH913" s="80" t="s">
        <v>5466</v>
      </c>
      <c r="AI913" s="80">
        <v>134</v>
      </c>
      <c r="AJ913" s="80">
        <v>0</v>
      </c>
      <c r="AK913" s="80">
        <v>21</v>
      </c>
      <c r="AL913" s="80">
        <v>0</v>
      </c>
      <c r="AM913" s="80" t="s">
        <v>5614</v>
      </c>
      <c r="AN913" s="102" t="str">
        <f>HYPERLINK("https://www.youtube.com/watch?v=ZSl4BePAqAg")</f>
        <v>https://www.youtube.com/watch?v=ZSl4BePAqAg</v>
      </c>
      <c r="AO913" s="2"/>
      <c r="AP913" s="3"/>
      <c r="AQ913" s="3"/>
      <c r="AR913" s="3"/>
      <c r="AS913" s="3"/>
    </row>
    <row r="914" spans="1:45" ht="15">
      <c r="A914" s="66" t="s">
        <v>1089</v>
      </c>
      <c r="B914" s="67"/>
      <c r="C914" s="67"/>
      <c r="D914" s="68"/>
      <c r="E914" s="70"/>
      <c r="F914" s="100" t="str">
        <f>HYPERLINK("https://i.ytimg.com/vi/LojMrlzKndY/default.jpg")</f>
        <v>https://i.ytimg.com/vi/LojMrlzKndY/default.jpg</v>
      </c>
      <c r="G914" s="67"/>
      <c r="H914" s="71"/>
      <c r="I914" s="72"/>
      <c r="J914" s="72"/>
      <c r="K914" s="71" t="s">
        <v>2143</v>
      </c>
      <c r="L914" s="75"/>
      <c r="M914" s="76">
        <v>6367.3525390625</v>
      </c>
      <c r="N914" s="76">
        <v>3197.83935546875</v>
      </c>
      <c r="O914" s="77"/>
      <c r="P914" s="78"/>
      <c r="Q914" s="78"/>
      <c r="R914" s="82"/>
      <c r="S914" s="82"/>
      <c r="T914" s="82"/>
      <c r="U914" s="82"/>
      <c r="V914" s="52"/>
      <c r="W914" s="52"/>
      <c r="X914" s="52"/>
      <c r="Y914" s="52"/>
      <c r="Z914" s="51"/>
      <c r="AA914" s="73">
        <v>914</v>
      </c>
      <c r="AB914" s="73"/>
      <c r="AC914" s="74"/>
      <c r="AD914" s="80" t="s">
        <v>2143</v>
      </c>
      <c r="AE914" s="80" t="s">
        <v>3049</v>
      </c>
      <c r="AF914" s="80" t="s">
        <v>3754</v>
      </c>
      <c r="AG914" s="80" t="s">
        <v>4487</v>
      </c>
      <c r="AH914" s="80" t="s">
        <v>5467</v>
      </c>
      <c r="AI914" s="80">
        <v>11320</v>
      </c>
      <c r="AJ914" s="80">
        <v>14</v>
      </c>
      <c r="AK914" s="80">
        <v>78</v>
      </c>
      <c r="AL914" s="80">
        <v>0</v>
      </c>
      <c r="AM914" s="80" t="s">
        <v>5614</v>
      </c>
      <c r="AN914" s="102" t="str">
        <f>HYPERLINK("https://www.youtube.com/watch?v=LojMrlzKndY")</f>
        <v>https://www.youtube.com/watch?v=LojMrlzKndY</v>
      </c>
      <c r="AO914" s="2"/>
      <c r="AP914" s="3"/>
      <c r="AQ914" s="3"/>
      <c r="AR914" s="3"/>
      <c r="AS914" s="3"/>
    </row>
    <row r="915" spans="1:45" ht="15">
      <c r="A915" s="66" t="s">
        <v>1090</v>
      </c>
      <c r="B915" s="67"/>
      <c r="C915" s="67"/>
      <c r="D915" s="68"/>
      <c r="E915" s="70"/>
      <c r="F915" s="100" t="str">
        <f>HYPERLINK("https://i.ytimg.com/vi/5C8gQKP9Uqg/default.jpg")</f>
        <v>https://i.ytimg.com/vi/5C8gQKP9Uqg/default.jpg</v>
      </c>
      <c r="G915" s="67"/>
      <c r="H915" s="71"/>
      <c r="I915" s="72"/>
      <c r="J915" s="72"/>
      <c r="K915" s="71" t="s">
        <v>2144</v>
      </c>
      <c r="L915" s="75"/>
      <c r="M915" s="76">
        <v>6301.84716796875</v>
      </c>
      <c r="N915" s="76">
        <v>3188.109619140625</v>
      </c>
      <c r="O915" s="77"/>
      <c r="P915" s="78"/>
      <c r="Q915" s="78"/>
      <c r="R915" s="82"/>
      <c r="S915" s="82"/>
      <c r="T915" s="82"/>
      <c r="U915" s="82"/>
      <c r="V915" s="52"/>
      <c r="W915" s="52"/>
      <c r="X915" s="52"/>
      <c r="Y915" s="52"/>
      <c r="Z915" s="51"/>
      <c r="AA915" s="73">
        <v>915</v>
      </c>
      <c r="AB915" s="73"/>
      <c r="AC915" s="74"/>
      <c r="AD915" s="80" t="s">
        <v>2144</v>
      </c>
      <c r="AE915" s="80" t="s">
        <v>3050</v>
      </c>
      <c r="AF915" s="80" t="s">
        <v>3755</v>
      </c>
      <c r="AG915" s="80" t="s">
        <v>4252</v>
      </c>
      <c r="AH915" s="80" t="s">
        <v>5468</v>
      </c>
      <c r="AI915" s="80">
        <v>1346</v>
      </c>
      <c r="AJ915" s="80">
        <v>11</v>
      </c>
      <c r="AK915" s="80">
        <v>42</v>
      </c>
      <c r="AL915" s="80">
        <v>1</v>
      </c>
      <c r="AM915" s="80" t="s">
        <v>5614</v>
      </c>
      <c r="AN915" s="102" t="str">
        <f>HYPERLINK("https://www.youtube.com/watch?v=5C8gQKP9Uqg")</f>
        <v>https://www.youtube.com/watch?v=5C8gQKP9Uqg</v>
      </c>
      <c r="AO915" s="2"/>
      <c r="AP915" s="3"/>
      <c r="AQ915" s="3"/>
      <c r="AR915" s="3"/>
      <c r="AS915" s="3"/>
    </row>
    <row r="916" spans="1:45" ht="15">
      <c r="A916" s="66" t="s">
        <v>1091</v>
      </c>
      <c r="B916" s="67"/>
      <c r="C916" s="67"/>
      <c r="D916" s="68"/>
      <c r="E916" s="70"/>
      <c r="F916" s="100" t="str">
        <f>HYPERLINK("https://i.ytimg.com/vi/ImZtQfHgNZU/default.jpg")</f>
        <v>https://i.ytimg.com/vi/ImZtQfHgNZU/default.jpg</v>
      </c>
      <c r="G916" s="67"/>
      <c r="H916" s="71"/>
      <c r="I916" s="72"/>
      <c r="J916" s="72"/>
      <c r="K916" s="71" t="s">
        <v>2145</v>
      </c>
      <c r="L916" s="75"/>
      <c r="M916" s="76">
        <v>6850.31494140625</v>
      </c>
      <c r="N916" s="76">
        <v>3551.431884765625</v>
      </c>
      <c r="O916" s="77"/>
      <c r="P916" s="78"/>
      <c r="Q916" s="78"/>
      <c r="R916" s="82"/>
      <c r="S916" s="82"/>
      <c r="T916" s="82"/>
      <c r="U916" s="82"/>
      <c r="V916" s="52"/>
      <c r="W916" s="52"/>
      <c r="X916" s="52"/>
      <c r="Y916" s="52"/>
      <c r="Z916" s="51"/>
      <c r="AA916" s="73">
        <v>916</v>
      </c>
      <c r="AB916" s="73"/>
      <c r="AC916" s="74"/>
      <c r="AD916" s="80" t="s">
        <v>2145</v>
      </c>
      <c r="AE916" s="80" t="s">
        <v>3051</v>
      </c>
      <c r="AF916" s="80" t="s">
        <v>3756</v>
      </c>
      <c r="AG916" s="80" t="s">
        <v>4488</v>
      </c>
      <c r="AH916" s="80" t="s">
        <v>5469</v>
      </c>
      <c r="AI916" s="80">
        <v>61158</v>
      </c>
      <c r="AJ916" s="80">
        <v>0</v>
      </c>
      <c r="AK916" s="80">
        <v>460</v>
      </c>
      <c r="AL916" s="80">
        <v>23</v>
      </c>
      <c r="AM916" s="80" t="s">
        <v>5614</v>
      </c>
      <c r="AN916" s="102" t="str">
        <f>HYPERLINK("https://www.youtube.com/watch?v=ImZtQfHgNZU")</f>
        <v>https://www.youtube.com/watch?v=ImZtQfHgNZU</v>
      </c>
      <c r="AO916" s="2"/>
      <c r="AP916" s="3"/>
      <c r="AQ916" s="3"/>
      <c r="AR916" s="3"/>
      <c r="AS916" s="3"/>
    </row>
    <row r="917" spans="1:45" ht="15">
      <c r="A917" s="66" t="s">
        <v>1092</v>
      </c>
      <c r="B917" s="67"/>
      <c r="C917" s="67"/>
      <c r="D917" s="68"/>
      <c r="E917" s="70"/>
      <c r="F917" s="100" t="str">
        <f>HYPERLINK("https://i.ytimg.com/vi/N_Lrs22A-28/default.jpg")</f>
        <v>https://i.ytimg.com/vi/N_Lrs22A-28/default.jpg</v>
      </c>
      <c r="G917" s="67"/>
      <c r="H917" s="71"/>
      <c r="I917" s="72"/>
      <c r="J917" s="72"/>
      <c r="K917" s="71" t="s">
        <v>2146</v>
      </c>
      <c r="L917" s="75"/>
      <c r="M917" s="76">
        <v>7089.1953125</v>
      </c>
      <c r="N917" s="76">
        <v>3761.854248046875</v>
      </c>
      <c r="O917" s="77"/>
      <c r="P917" s="78"/>
      <c r="Q917" s="78"/>
      <c r="R917" s="82"/>
      <c r="S917" s="82"/>
      <c r="T917" s="82"/>
      <c r="U917" s="82"/>
      <c r="V917" s="52"/>
      <c r="W917" s="52"/>
      <c r="X917" s="52"/>
      <c r="Y917" s="52"/>
      <c r="Z917" s="51"/>
      <c r="AA917" s="73">
        <v>917</v>
      </c>
      <c r="AB917" s="73"/>
      <c r="AC917" s="74"/>
      <c r="AD917" s="80" t="s">
        <v>2146</v>
      </c>
      <c r="AE917" s="80" t="s">
        <v>3052</v>
      </c>
      <c r="AF917" s="80"/>
      <c r="AG917" s="80" t="s">
        <v>4489</v>
      </c>
      <c r="AH917" s="80" t="s">
        <v>5470</v>
      </c>
      <c r="AI917" s="80">
        <v>734</v>
      </c>
      <c r="AJ917" s="80">
        <v>0</v>
      </c>
      <c r="AK917" s="80">
        <v>4</v>
      </c>
      <c r="AL917" s="80">
        <v>0</v>
      </c>
      <c r="AM917" s="80" t="s">
        <v>5614</v>
      </c>
      <c r="AN917" s="102" t="str">
        <f>HYPERLINK("https://www.youtube.com/watch?v=N_Lrs22A-28")</f>
        <v>https://www.youtube.com/watch?v=N_Lrs22A-28</v>
      </c>
      <c r="AO917" s="2"/>
      <c r="AP917" s="3"/>
      <c r="AQ917" s="3"/>
      <c r="AR917" s="3"/>
      <c r="AS917" s="3"/>
    </row>
    <row r="918" spans="1:45" ht="15">
      <c r="A918" s="66" t="s">
        <v>1093</v>
      </c>
      <c r="B918" s="67"/>
      <c r="C918" s="67"/>
      <c r="D918" s="68"/>
      <c r="E918" s="70"/>
      <c r="F918" s="100" t="str">
        <f>HYPERLINK("https://i.ytimg.com/vi/qGqjggq2ZA4/default.jpg")</f>
        <v>https://i.ytimg.com/vi/qGqjggq2ZA4/default.jpg</v>
      </c>
      <c r="G918" s="67"/>
      <c r="H918" s="71"/>
      <c r="I918" s="72"/>
      <c r="J918" s="72"/>
      <c r="K918" s="71" t="s">
        <v>2147</v>
      </c>
      <c r="L918" s="75"/>
      <c r="M918" s="76">
        <v>6246.26953125</v>
      </c>
      <c r="N918" s="76">
        <v>3384.62060546875</v>
      </c>
      <c r="O918" s="77"/>
      <c r="P918" s="78"/>
      <c r="Q918" s="78"/>
      <c r="R918" s="82"/>
      <c r="S918" s="82"/>
      <c r="T918" s="82"/>
      <c r="U918" s="82"/>
      <c r="V918" s="52"/>
      <c r="W918" s="52"/>
      <c r="X918" s="52"/>
      <c r="Y918" s="52"/>
      <c r="Z918" s="51"/>
      <c r="AA918" s="73">
        <v>918</v>
      </c>
      <c r="AB918" s="73"/>
      <c r="AC918" s="74"/>
      <c r="AD918" s="80" t="s">
        <v>2147</v>
      </c>
      <c r="AE918" s="80" t="s">
        <v>3053</v>
      </c>
      <c r="AF918" s="80" t="s">
        <v>3757</v>
      </c>
      <c r="AG918" s="80" t="s">
        <v>4490</v>
      </c>
      <c r="AH918" s="80" t="s">
        <v>5471</v>
      </c>
      <c r="AI918" s="80">
        <v>39438</v>
      </c>
      <c r="AJ918" s="80">
        <v>19</v>
      </c>
      <c r="AK918" s="80">
        <v>762</v>
      </c>
      <c r="AL918" s="80">
        <v>19</v>
      </c>
      <c r="AM918" s="80" t="s">
        <v>5614</v>
      </c>
      <c r="AN918" s="102" t="str">
        <f>HYPERLINK("https://www.youtube.com/watch?v=qGqjggq2ZA4")</f>
        <v>https://www.youtube.com/watch?v=qGqjggq2ZA4</v>
      </c>
      <c r="AO918" s="2"/>
      <c r="AP918" s="3"/>
      <c r="AQ918" s="3"/>
      <c r="AR918" s="3"/>
      <c r="AS918" s="3"/>
    </row>
    <row r="919" spans="1:45" ht="15">
      <c r="A919" s="66" t="s">
        <v>1094</v>
      </c>
      <c r="B919" s="67"/>
      <c r="C919" s="67"/>
      <c r="D919" s="68"/>
      <c r="E919" s="70"/>
      <c r="F919" s="100" t="str">
        <f>HYPERLINK("https://i.ytimg.com/vi/HyMa2Zz1jQ0/default.jpg")</f>
        <v>https://i.ytimg.com/vi/HyMa2Zz1jQ0/default.jpg</v>
      </c>
      <c r="G919" s="67"/>
      <c r="H919" s="71"/>
      <c r="I919" s="72"/>
      <c r="J919" s="72"/>
      <c r="K919" s="71" t="s">
        <v>2148</v>
      </c>
      <c r="L919" s="75"/>
      <c r="M919" s="76">
        <v>6341.5546875</v>
      </c>
      <c r="N919" s="76">
        <v>3747.73583984375</v>
      </c>
      <c r="O919" s="77"/>
      <c r="P919" s="78"/>
      <c r="Q919" s="78"/>
      <c r="R919" s="82"/>
      <c r="S919" s="82"/>
      <c r="T919" s="82"/>
      <c r="U919" s="82"/>
      <c r="V919" s="52"/>
      <c r="W919" s="52"/>
      <c r="X919" s="52"/>
      <c r="Y919" s="52"/>
      <c r="Z919" s="51"/>
      <c r="AA919" s="73">
        <v>919</v>
      </c>
      <c r="AB919" s="73"/>
      <c r="AC919" s="74"/>
      <c r="AD919" s="80" t="s">
        <v>2148</v>
      </c>
      <c r="AE919" s="80" t="s">
        <v>3054</v>
      </c>
      <c r="AF919" s="80" t="s">
        <v>3758</v>
      </c>
      <c r="AG919" s="80" t="s">
        <v>4048</v>
      </c>
      <c r="AH919" s="80" t="s">
        <v>5472</v>
      </c>
      <c r="AI919" s="80">
        <v>44220</v>
      </c>
      <c r="AJ919" s="80">
        <v>28</v>
      </c>
      <c r="AK919" s="80">
        <v>1059</v>
      </c>
      <c r="AL919" s="80">
        <v>36</v>
      </c>
      <c r="AM919" s="80" t="s">
        <v>5614</v>
      </c>
      <c r="AN919" s="102" t="str">
        <f>HYPERLINK("https://www.youtube.com/watch?v=HyMa2Zz1jQ0")</f>
        <v>https://www.youtube.com/watch?v=HyMa2Zz1jQ0</v>
      </c>
      <c r="AO919" s="2"/>
      <c r="AP919" s="3"/>
      <c r="AQ919" s="3"/>
      <c r="AR919" s="3"/>
      <c r="AS919" s="3"/>
    </row>
    <row r="920" spans="1:45" ht="15">
      <c r="A920" s="66" t="s">
        <v>1095</v>
      </c>
      <c r="B920" s="67"/>
      <c r="C920" s="67"/>
      <c r="D920" s="68"/>
      <c r="E920" s="70"/>
      <c r="F920" s="100" t="str">
        <f>HYPERLINK("https://i.ytimg.com/vi/GkA5WOeLWbM/default.jpg")</f>
        <v>https://i.ytimg.com/vi/GkA5WOeLWbM/default.jpg</v>
      </c>
      <c r="G920" s="67"/>
      <c r="H920" s="71"/>
      <c r="I920" s="72"/>
      <c r="J920" s="72"/>
      <c r="K920" s="71" t="s">
        <v>2149</v>
      </c>
      <c r="L920" s="75"/>
      <c r="M920" s="76">
        <v>6346.1650390625</v>
      </c>
      <c r="N920" s="76">
        <v>3582.913818359375</v>
      </c>
      <c r="O920" s="77"/>
      <c r="P920" s="78"/>
      <c r="Q920" s="78"/>
      <c r="R920" s="82"/>
      <c r="S920" s="82"/>
      <c r="T920" s="82"/>
      <c r="U920" s="82"/>
      <c r="V920" s="52"/>
      <c r="W920" s="52"/>
      <c r="X920" s="52"/>
      <c r="Y920" s="52"/>
      <c r="Z920" s="51"/>
      <c r="AA920" s="73">
        <v>920</v>
      </c>
      <c r="AB920" s="73"/>
      <c r="AC920" s="74"/>
      <c r="AD920" s="80" t="s">
        <v>2149</v>
      </c>
      <c r="AE920" s="80" t="s">
        <v>3055</v>
      </c>
      <c r="AF920" s="80" t="s">
        <v>3759</v>
      </c>
      <c r="AG920" s="80" t="s">
        <v>4491</v>
      </c>
      <c r="AH920" s="80" t="s">
        <v>5473</v>
      </c>
      <c r="AI920" s="80">
        <v>44474</v>
      </c>
      <c r="AJ920" s="80">
        <v>31</v>
      </c>
      <c r="AK920" s="80">
        <v>797</v>
      </c>
      <c r="AL920" s="80">
        <v>50</v>
      </c>
      <c r="AM920" s="80" t="s">
        <v>5614</v>
      </c>
      <c r="AN920" s="102" t="str">
        <f>HYPERLINK("https://www.youtube.com/watch?v=GkA5WOeLWbM")</f>
        <v>https://www.youtube.com/watch?v=GkA5WOeLWbM</v>
      </c>
      <c r="AO920" s="2"/>
      <c r="AP920" s="3"/>
      <c r="AQ920" s="3"/>
      <c r="AR920" s="3"/>
      <c r="AS920" s="3"/>
    </row>
    <row r="921" spans="1:45" ht="15">
      <c r="A921" s="66" t="s">
        <v>1096</v>
      </c>
      <c r="B921" s="67"/>
      <c r="C921" s="67"/>
      <c r="D921" s="68"/>
      <c r="E921" s="70"/>
      <c r="F921" s="100" t="str">
        <f>HYPERLINK("https://i.ytimg.com/vi/TyUsy6vB0NE/default.jpg")</f>
        <v>https://i.ytimg.com/vi/TyUsy6vB0NE/default.jpg</v>
      </c>
      <c r="G921" s="67"/>
      <c r="H921" s="71"/>
      <c r="I921" s="72"/>
      <c r="J921" s="72"/>
      <c r="K921" s="71" t="s">
        <v>2150</v>
      </c>
      <c r="L921" s="75"/>
      <c r="M921" s="76">
        <v>6843.99169921875</v>
      </c>
      <c r="N921" s="76">
        <v>3460.879150390625</v>
      </c>
      <c r="O921" s="77"/>
      <c r="P921" s="78"/>
      <c r="Q921" s="78"/>
      <c r="R921" s="82"/>
      <c r="S921" s="82"/>
      <c r="T921" s="82"/>
      <c r="U921" s="82"/>
      <c r="V921" s="52"/>
      <c r="W921" s="52"/>
      <c r="X921" s="52"/>
      <c r="Y921" s="52"/>
      <c r="Z921" s="51"/>
      <c r="AA921" s="73">
        <v>921</v>
      </c>
      <c r="AB921" s="73"/>
      <c r="AC921" s="74"/>
      <c r="AD921" s="80" t="s">
        <v>2150</v>
      </c>
      <c r="AE921" s="80" t="s">
        <v>3056</v>
      </c>
      <c r="AF921" s="80" t="s">
        <v>3760</v>
      </c>
      <c r="AG921" s="80" t="s">
        <v>4492</v>
      </c>
      <c r="AH921" s="80" t="s">
        <v>5474</v>
      </c>
      <c r="AI921" s="80">
        <v>1151</v>
      </c>
      <c r="AJ921" s="80">
        <v>0</v>
      </c>
      <c r="AK921" s="80">
        <v>10</v>
      </c>
      <c r="AL921" s="80">
        <v>0</v>
      </c>
      <c r="AM921" s="80" t="s">
        <v>5614</v>
      </c>
      <c r="AN921" s="102" t="str">
        <f>HYPERLINK("https://www.youtube.com/watch?v=TyUsy6vB0NE")</f>
        <v>https://www.youtube.com/watch?v=TyUsy6vB0NE</v>
      </c>
      <c r="AO921" s="2"/>
      <c r="AP921" s="3"/>
      <c r="AQ921" s="3"/>
      <c r="AR921" s="3"/>
      <c r="AS921" s="3"/>
    </row>
    <row r="922" spans="1:45" ht="15">
      <c r="A922" s="66" t="s">
        <v>1097</v>
      </c>
      <c r="B922" s="67"/>
      <c r="C922" s="67"/>
      <c r="D922" s="68"/>
      <c r="E922" s="70"/>
      <c r="F922" s="100" t="str">
        <f>HYPERLINK("https://i.ytimg.com/vi/HiSalCQijQI/default.jpg")</f>
        <v>https://i.ytimg.com/vi/HiSalCQijQI/default.jpg</v>
      </c>
      <c r="G922" s="67"/>
      <c r="H922" s="71"/>
      <c r="I922" s="72"/>
      <c r="J922" s="72"/>
      <c r="K922" s="71" t="s">
        <v>2151</v>
      </c>
      <c r="L922" s="75"/>
      <c r="M922" s="76">
        <v>7058.99462890625</v>
      </c>
      <c r="N922" s="76">
        <v>3421.66015625</v>
      </c>
      <c r="O922" s="77"/>
      <c r="P922" s="78"/>
      <c r="Q922" s="78"/>
      <c r="R922" s="82"/>
      <c r="S922" s="82"/>
      <c r="T922" s="82"/>
      <c r="U922" s="82"/>
      <c r="V922" s="52"/>
      <c r="W922" s="52"/>
      <c r="X922" s="52"/>
      <c r="Y922" s="52"/>
      <c r="Z922" s="51"/>
      <c r="AA922" s="73">
        <v>922</v>
      </c>
      <c r="AB922" s="73"/>
      <c r="AC922" s="74"/>
      <c r="AD922" s="80" t="s">
        <v>2151</v>
      </c>
      <c r="AE922" s="80" t="s">
        <v>3057</v>
      </c>
      <c r="AF922" s="80"/>
      <c r="AG922" s="80" t="s">
        <v>4493</v>
      </c>
      <c r="AH922" s="80" t="s">
        <v>5475</v>
      </c>
      <c r="AI922" s="80">
        <v>1087</v>
      </c>
      <c r="AJ922" s="80">
        <v>0</v>
      </c>
      <c r="AK922" s="80">
        <v>15</v>
      </c>
      <c r="AL922" s="80">
        <v>0</v>
      </c>
      <c r="AM922" s="80" t="s">
        <v>5614</v>
      </c>
      <c r="AN922" s="102" t="str">
        <f>HYPERLINK("https://www.youtube.com/watch?v=HiSalCQijQI")</f>
        <v>https://www.youtube.com/watch?v=HiSalCQijQI</v>
      </c>
      <c r="AO922" s="2"/>
      <c r="AP922" s="3"/>
      <c r="AQ922" s="3"/>
      <c r="AR922" s="3"/>
      <c r="AS922" s="3"/>
    </row>
    <row r="923" spans="1:45" ht="15">
      <c r="A923" s="66" t="s">
        <v>1098</v>
      </c>
      <c r="B923" s="67"/>
      <c r="C923" s="67"/>
      <c r="D923" s="68"/>
      <c r="E923" s="70"/>
      <c r="F923" s="100" t="str">
        <f>HYPERLINK("https://i.ytimg.com/vi/XdsFpFr7D4Q/default.jpg")</f>
        <v>https://i.ytimg.com/vi/XdsFpFr7D4Q/default.jpg</v>
      </c>
      <c r="G923" s="67"/>
      <c r="H923" s="71"/>
      <c r="I923" s="72"/>
      <c r="J923" s="72"/>
      <c r="K923" s="71" t="s">
        <v>2152</v>
      </c>
      <c r="L923" s="75"/>
      <c r="M923" s="76">
        <v>6784.193359375</v>
      </c>
      <c r="N923" s="76">
        <v>3722.65234375</v>
      </c>
      <c r="O923" s="77"/>
      <c r="P923" s="78"/>
      <c r="Q923" s="78"/>
      <c r="R923" s="82"/>
      <c r="S923" s="82"/>
      <c r="T923" s="82"/>
      <c r="U923" s="82"/>
      <c r="V923" s="52"/>
      <c r="W923" s="52"/>
      <c r="X923" s="52"/>
      <c r="Y923" s="52"/>
      <c r="Z923" s="51"/>
      <c r="AA923" s="73">
        <v>923</v>
      </c>
      <c r="AB923" s="73"/>
      <c r="AC923" s="74"/>
      <c r="AD923" s="80" t="s">
        <v>2152</v>
      </c>
      <c r="AE923" s="80" t="s">
        <v>3058</v>
      </c>
      <c r="AF923" s="80"/>
      <c r="AG923" s="80" t="s">
        <v>4494</v>
      </c>
      <c r="AH923" s="80" t="s">
        <v>5476</v>
      </c>
      <c r="AI923" s="80">
        <v>14975</v>
      </c>
      <c r="AJ923" s="80">
        <v>6</v>
      </c>
      <c r="AK923" s="80">
        <v>213</v>
      </c>
      <c r="AL923" s="80">
        <v>0</v>
      </c>
      <c r="AM923" s="80" t="s">
        <v>5614</v>
      </c>
      <c r="AN923" s="102" t="str">
        <f>HYPERLINK("https://www.youtube.com/watch?v=XdsFpFr7D4Q")</f>
        <v>https://www.youtube.com/watch?v=XdsFpFr7D4Q</v>
      </c>
      <c r="AO923" s="2"/>
      <c r="AP923" s="3"/>
      <c r="AQ923" s="3"/>
      <c r="AR923" s="3"/>
      <c r="AS923" s="3"/>
    </row>
    <row r="924" spans="1:45" ht="15">
      <c r="A924" s="66" t="s">
        <v>1099</v>
      </c>
      <c r="B924" s="67"/>
      <c r="C924" s="67"/>
      <c r="D924" s="68"/>
      <c r="E924" s="70"/>
      <c r="F924" s="100" t="str">
        <f>HYPERLINK("https://i.ytimg.com/vi/LWiVjNG2SIY/default.jpg")</f>
        <v>https://i.ytimg.com/vi/LWiVjNG2SIY/default.jpg</v>
      </c>
      <c r="G924" s="67"/>
      <c r="H924" s="71"/>
      <c r="I924" s="72"/>
      <c r="J924" s="72"/>
      <c r="K924" s="71" t="s">
        <v>2153</v>
      </c>
      <c r="L924" s="75"/>
      <c r="M924" s="76">
        <v>6906.63232421875</v>
      </c>
      <c r="N924" s="76">
        <v>3350.779541015625</v>
      </c>
      <c r="O924" s="77"/>
      <c r="P924" s="78"/>
      <c r="Q924" s="78"/>
      <c r="R924" s="82"/>
      <c r="S924" s="82"/>
      <c r="T924" s="82"/>
      <c r="U924" s="82"/>
      <c r="V924" s="52"/>
      <c r="W924" s="52"/>
      <c r="X924" s="52"/>
      <c r="Y924" s="52"/>
      <c r="Z924" s="51"/>
      <c r="AA924" s="73">
        <v>924</v>
      </c>
      <c r="AB924" s="73"/>
      <c r="AC924" s="74"/>
      <c r="AD924" s="80" t="s">
        <v>2153</v>
      </c>
      <c r="AE924" s="80" t="s">
        <v>3059</v>
      </c>
      <c r="AF924" s="80" t="s">
        <v>3761</v>
      </c>
      <c r="AG924" s="80" t="s">
        <v>4495</v>
      </c>
      <c r="AH924" s="80" t="s">
        <v>5477</v>
      </c>
      <c r="AI924" s="80">
        <v>1333</v>
      </c>
      <c r="AJ924" s="80">
        <v>0</v>
      </c>
      <c r="AK924" s="80">
        <v>8</v>
      </c>
      <c r="AL924" s="80">
        <v>0</v>
      </c>
      <c r="AM924" s="80" t="s">
        <v>5614</v>
      </c>
      <c r="AN924" s="102" t="str">
        <f>HYPERLINK("https://www.youtube.com/watch?v=LWiVjNG2SIY")</f>
        <v>https://www.youtube.com/watch?v=LWiVjNG2SIY</v>
      </c>
      <c r="AO924" s="2"/>
      <c r="AP924" s="3"/>
      <c r="AQ924" s="3"/>
      <c r="AR924" s="3"/>
      <c r="AS924" s="3"/>
    </row>
    <row r="925" spans="1:45" ht="15">
      <c r="A925" s="66" t="s">
        <v>1100</v>
      </c>
      <c r="B925" s="67"/>
      <c r="C925" s="67"/>
      <c r="D925" s="68"/>
      <c r="E925" s="70"/>
      <c r="F925" s="100" t="str">
        <f>HYPERLINK("https://i.ytimg.com/vi/C17VbbxhtYw/default.jpg")</f>
        <v>https://i.ytimg.com/vi/C17VbbxhtYw/default.jpg</v>
      </c>
      <c r="G925" s="67"/>
      <c r="H925" s="71"/>
      <c r="I925" s="72"/>
      <c r="J925" s="72"/>
      <c r="K925" s="71" t="s">
        <v>2154</v>
      </c>
      <c r="L925" s="75"/>
      <c r="M925" s="76">
        <v>6974.99951171875</v>
      </c>
      <c r="N925" s="76">
        <v>3571.170166015625</v>
      </c>
      <c r="O925" s="77"/>
      <c r="P925" s="78"/>
      <c r="Q925" s="78"/>
      <c r="R925" s="82"/>
      <c r="S925" s="82"/>
      <c r="T925" s="82"/>
      <c r="U925" s="82"/>
      <c r="V925" s="52"/>
      <c r="W925" s="52"/>
      <c r="X925" s="52"/>
      <c r="Y925" s="52"/>
      <c r="Z925" s="51"/>
      <c r="AA925" s="73">
        <v>925</v>
      </c>
      <c r="AB925" s="73"/>
      <c r="AC925" s="74"/>
      <c r="AD925" s="80" t="s">
        <v>2154</v>
      </c>
      <c r="AE925" s="80" t="s">
        <v>3060</v>
      </c>
      <c r="AF925" s="80" t="s">
        <v>3762</v>
      </c>
      <c r="AG925" s="80" t="s">
        <v>4048</v>
      </c>
      <c r="AH925" s="80" t="s">
        <v>5478</v>
      </c>
      <c r="AI925" s="80">
        <v>2162</v>
      </c>
      <c r="AJ925" s="80">
        <v>0</v>
      </c>
      <c r="AK925" s="80">
        <v>12</v>
      </c>
      <c r="AL925" s="80">
        <v>0</v>
      </c>
      <c r="AM925" s="80" t="s">
        <v>5614</v>
      </c>
      <c r="AN925" s="102" t="str">
        <f>HYPERLINK("https://www.youtube.com/watch?v=C17VbbxhtYw")</f>
        <v>https://www.youtube.com/watch?v=C17VbbxhtYw</v>
      </c>
      <c r="AO925" s="2"/>
      <c r="AP925" s="3"/>
      <c r="AQ925" s="3"/>
      <c r="AR925" s="3"/>
      <c r="AS925" s="3"/>
    </row>
    <row r="926" spans="1:45" ht="15">
      <c r="A926" s="66" t="s">
        <v>1101</v>
      </c>
      <c r="B926" s="67"/>
      <c r="C926" s="67"/>
      <c r="D926" s="68"/>
      <c r="E926" s="70"/>
      <c r="F926" s="100" t="str">
        <f>HYPERLINK("https://i.ytimg.com/vi/Dl41Tf2Ean0/default.jpg")</f>
        <v>https://i.ytimg.com/vi/Dl41Tf2Ean0/default.jpg</v>
      </c>
      <c r="G926" s="67"/>
      <c r="H926" s="71"/>
      <c r="I926" s="72"/>
      <c r="J926" s="72"/>
      <c r="K926" s="71" t="s">
        <v>2155</v>
      </c>
      <c r="L926" s="75"/>
      <c r="M926" s="76">
        <v>5822.0029296875</v>
      </c>
      <c r="N926" s="76">
        <v>4175.85888671875</v>
      </c>
      <c r="O926" s="77"/>
      <c r="P926" s="78"/>
      <c r="Q926" s="78"/>
      <c r="R926" s="82"/>
      <c r="S926" s="82"/>
      <c r="T926" s="82"/>
      <c r="U926" s="82"/>
      <c r="V926" s="52"/>
      <c r="W926" s="52"/>
      <c r="X926" s="52"/>
      <c r="Y926" s="52"/>
      <c r="Z926" s="51"/>
      <c r="AA926" s="73">
        <v>926</v>
      </c>
      <c r="AB926" s="73"/>
      <c r="AC926" s="74"/>
      <c r="AD926" s="80" t="s">
        <v>2155</v>
      </c>
      <c r="AE926" s="80"/>
      <c r="AF926" s="80" t="s">
        <v>3763</v>
      </c>
      <c r="AG926" s="80" t="s">
        <v>4496</v>
      </c>
      <c r="AH926" s="80" t="s">
        <v>5479</v>
      </c>
      <c r="AI926" s="80">
        <v>1091</v>
      </c>
      <c r="AJ926" s="80">
        <v>0</v>
      </c>
      <c r="AK926" s="80">
        <v>8</v>
      </c>
      <c r="AL926" s="80">
        <v>0</v>
      </c>
      <c r="AM926" s="80" t="s">
        <v>5614</v>
      </c>
      <c r="AN926" s="102" t="str">
        <f>HYPERLINK("https://www.youtube.com/watch?v=Dl41Tf2Ean0")</f>
        <v>https://www.youtube.com/watch?v=Dl41Tf2Ean0</v>
      </c>
      <c r="AO926" s="2"/>
      <c r="AP926" s="3"/>
      <c r="AQ926" s="3"/>
      <c r="AR926" s="3"/>
      <c r="AS926" s="3"/>
    </row>
    <row r="927" spans="1:45" ht="15">
      <c r="A927" s="66" t="s">
        <v>1102</v>
      </c>
      <c r="B927" s="67"/>
      <c r="C927" s="67"/>
      <c r="D927" s="68"/>
      <c r="E927" s="70"/>
      <c r="F927" s="100" t="str">
        <f>HYPERLINK("https://i.ytimg.com/vi/kW2yrC4FrK4/default.jpg")</f>
        <v>https://i.ytimg.com/vi/kW2yrC4FrK4/default.jpg</v>
      </c>
      <c r="G927" s="67"/>
      <c r="H927" s="71"/>
      <c r="I927" s="72"/>
      <c r="J927" s="72"/>
      <c r="K927" s="71" t="s">
        <v>2156</v>
      </c>
      <c r="L927" s="75"/>
      <c r="M927" s="76">
        <v>5379.10888671875</v>
      </c>
      <c r="N927" s="76">
        <v>3372.170166015625</v>
      </c>
      <c r="O927" s="77"/>
      <c r="P927" s="78"/>
      <c r="Q927" s="78"/>
      <c r="R927" s="82"/>
      <c r="S927" s="82"/>
      <c r="T927" s="82"/>
      <c r="U927" s="82"/>
      <c r="V927" s="52"/>
      <c r="W927" s="52"/>
      <c r="X927" s="52"/>
      <c r="Y927" s="52"/>
      <c r="Z927" s="51"/>
      <c r="AA927" s="73">
        <v>927</v>
      </c>
      <c r="AB927" s="73"/>
      <c r="AC927" s="74"/>
      <c r="AD927" s="80" t="s">
        <v>2156</v>
      </c>
      <c r="AE927" s="80" t="s">
        <v>3061</v>
      </c>
      <c r="AF927" s="80"/>
      <c r="AG927" s="80" t="s">
        <v>4497</v>
      </c>
      <c r="AH927" s="80" t="s">
        <v>5480</v>
      </c>
      <c r="AI927" s="80">
        <v>29744</v>
      </c>
      <c r="AJ927" s="80">
        <v>35</v>
      </c>
      <c r="AK927" s="80">
        <v>619</v>
      </c>
      <c r="AL927" s="80">
        <v>31</v>
      </c>
      <c r="AM927" s="80" t="s">
        <v>5614</v>
      </c>
      <c r="AN927" s="102" t="str">
        <f>HYPERLINK("https://www.youtube.com/watch?v=kW2yrC4FrK4")</f>
        <v>https://www.youtube.com/watch?v=kW2yrC4FrK4</v>
      </c>
      <c r="AO927" s="2"/>
      <c r="AP927" s="3"/>
      <c r="AQ927" s="3"/>
      <c r="AR927" s="3"/>
      <c r="AS927" s="3"/>
    </row>
    <row r="928" spans="1:45" ht="15">
      <c r="A928" s="66" t="s">
        <v>1103</v>
      </c>
      <c r="B928" s="67"/>
      <c r="C928" s="67"/>
      <c r="D928" s="68"/>
      <c r="E928" s="70"/>
      <c r="F928" s="100" t="str">
        <f>HYPERLINK("https://i.ytimg.com/vi/uLqWnLzr7q4/default.jpg")</f>
        <v>https://i.ytimg.com/vi/uLqWnLzr7q4/default.jpg</v>
      </c>
      <c r="G928" s="67"/>
      <c r="H928" s="71"/>
      <c r="I928" s="72"/>
      <c r="J928" s="72"/>
      <c r="K928" s="71" t="s">
        <v>2157</v>
      </c>
      <c r="L928" s="75"/>
      <c r="M928" s="76">
        <v>7065.78125</v>
      </c>
      <c r="N928" s="76">
        <v>5032.92333984375</v>
      </c>
      <c r="O928" s="77"/>
      <c r="P928" s="78"/>
      <c r="Q928" s="78"/>
      <c r="R928" s="82"/>
      <c r="S928" s="82"/>
      <c r="T928" s="82"/>
      <c r="U928" s="82"/>
      <c r="V928" s="52"/>
      <c r="W928" s="52"/>
      <c r="X928" s="52"/>
      <c r="Y928" s="52"/>
      <c r="Z928" s="51"/>
      <c r="AA928" s="73">
        <v>928</v>
      </c>
      <c r="AB928" s="73"/>
      <c r="AC928" s="74"/>
      <c r="AD928" s="80" t="s">
        <v>2157</v>
      </c>
      <c r="AE928" s="80" t="s">
        <v>3062</v>
      </c>
      <c r="AF928" s="80" t="s">
        <v>3764</v>
      </c>
      <c r="AG928" s="80" t="s">
        <v>4369</v>
      </c>
      <c r="AH928" s="80" t="s">
        <v>5481</v>
      </c>
      <c r="AI928" s="80">
        <v>7999</v>
      </c>
      <c r="AJ928" s="80">
        <v>17</v>
      </c>
      <c r="AK928" s="80">
        <v>188</v>
      </c>
      <c r="AL928" s="80">
        <v>3</v>
      </c>
      <c r="AM928" s="80" t="s">
        <v>5614</v>
      </c>
      <c r="AN928" s="102" t="str">
        <f>HYPERLINK("https://www.youtube.com/watch?v=uLqWnLzr7q4")</f>
        <v>https://www.youtube.com/watch?v=uLqWnLzr7q4</v>
      </c>
      <c r="AO928" s="2"/>
      <c r="AP928" s="3"/>
      <c r="AQ928" s="3"/>
      <c r="AR928" s="3"/>
      <c r="AS928" s="3"/>
    </row>
    <row r="929" spans="1:45" ht="15">
      <c r="A929" s="66" t="s">
        <v>1104</v>
      </c>
      <c r="B929" s="67"/>
      <c r="C929" s="67"/>
      <c r="D929" s="68"/>
      <c r="E929" s="70"/>
      <c r="F929" s="100" t="str">
        <f>HYPERLINK("https://i.ytimg.com/vi/VVzCooLLyCk/default.jpg")</f>
        <v>https://i.ytimg.com/vi/VVzCooLLyCk/default.jpg</v>
      </c>
      <c r="G929" s="67"/>
      <c r="H929" s="71"/>
      <c r="I929" s="72"/>
      <c r="J929" s="72"/>
      <c r="K929" s="71" t="s">
        <v>2158</v>
      </c>
      <c r="L929" s="75"/>
      <c r="M929" s="76">
        <v>6291.16796875</v>
      </c>
      <c r="N929" s="76">
        <v>5468.935546875</v>
      </c>
      <c r="O929" s="77"/>
      <c r="P929" s="78"/>
      <c r="Q929" s="78"/>
      <c r="R929" s="82"/>
      <c r="S929" s="82"/>
      <c r="T929" s="82"/>
      <c r="U929" s="82"/>
      <c r="V929" s="52"/>
      <c r="W929" s="52"/>
      <c r="X929" s="52"/>
      <c r="Y929" s="52"/>
      <c r="Z929" s="51"/>
      <c r="AA929" s="73">
        <v>929</v>
      </c>
      <c r="AB929" s="73"/>
      <c r="AC929" s="74"/>
      <c r="AD929" s="80" t="s">
        <v>2158</v>
      </c>
      <c r="AE929" s="80" t="s">
        <v>3063</v>
      </c>
      <c r="AF929" s="80"/>
      <c r="AG929" s="80" t="s">
        <v>4498</v>
      </c>
      <c r="AH929" s="80" t="s">
        <v>5482</v>
      </c>
      <c r="AI929" s="80">
        <v>7981</v>
      </c>
      <c r="AJ929" s="80">
        <v>1</v>
      </c>
      <c r="AK929" s="80">
        <v>87</v>
      </c>
      <c r="AL929" s="80">
        <v>2</v>
      </c>
      <c r="AM929" s="80" t="s">
        <v>5614</v>
      </c>
      <c r="AN929" s="102" t="str">
        <f>HYPERLINK("https://www.youtube.com/watch?v=VVzCooLLyCk")</f>
        <v>https://www.youtube.com/watch?v=VVzCooLLyCk</v>
      </c>
      <c r="AO929" s="2"/>
      <c r="AP929" s="3"/>
      <c r="AQ929" s="3"/>
      <c r="AR929" s="3"/>
      <c r="AS929" s="3"/>
    </row>
    <row r="930" spans="1:45" ht="15">
      <c r="A930" s="66" t="s">
        <v>1105</v>
      </c>
      <c r="B930" s="67"/>
      <c r="C930" s="67"/>
      <c r="D930" s="68"/>
      <c r="E930" s="70"/>
      <c r="F930" s="100" t="str">
        <f>HYPERLINK("https://i.ytimg.com/vi/hKdkrB8YogQ/default.jpg")</f>
        <v>https://i.ytimg.com/vi/hKdkrB8YogQ/default.jpg</v>
      </c>
      <c r="G930" s="67"/>
      <c r="H930" s="71"/>
      <c r="I930" s="72"/>
      <c r="J930" s="72"/>
      <c r="K930" s="71" t="s">
        <v>2159</v>
      </c>
      <c r="L930" s="75"/>
      <c r="M930" s="76">
        <v>6981.7939453125</v>
      </c>
      <c r="N930" s="76">
        <v>5173.1123046875</v>
      </c>
      <c r="O930" s="77"/>
      <c r="P930" s="78"/>
      <c r="Q930" s="78"/>
      <c r="R930" s="82"/>
      <c r="S930" s="82"/>
      <c r="T930" s="82"/>
      <c r="U930" s="82"/>
      <c r="V930" s="52"/>
      <c r="W930" s="52"/>
      <c r="X930" s="52"/>
      <c r="Y930" s="52"/>
      <c r="Z930" s="51"/>
      <c r="AA930" s="73">
        <v>930</v>
      </c>
      <c r="AB930" s="73"/>
      <c r="AC930" s="74"/>
      <c r="AD930" s="80" t="s">
        <v>2159</v>
      </c>
      <c r="AE930" s="80" t="s">
        <v>3064</v>
      </c>
      <c r="AF930" s="80" t="s">
        <v>3765</v>
      </c>
      <c r="AG930" s="80" t="s">
        <v>4499</v>
      </c>
      <c r="AH930" s="80" t="s">
        <v>5483</v>
      </c>
      <c r="AI930" s="80">
        <v>1978</v>
      </c>
      <c r="AJ930" s="80">
        <v>0</v>
      </c>
      <c r="AK930" s="80">
        <v>54</v>
      </c>
      <c r="AL930" s="80">
        <v>2</v>
      </c>
      <c r="AM930" s="80" t="s">
        <v>5614</v>
      </c>
      <c r="AN930" s="102" t="str">
        <f>HYPERLINK("https://www.youtube.com/watch?v=hKdkrB8YogQ")</f>
        <v>https://www.youtube.com/watch?v=hKdkrB8YogQ</v>
      </c>
      <c r="AO930" s="2"/>
      <c r="AP930" s="3"/>
      <c r="AQ930" s="3"/>
      <c r="AR930" s="3"/>
      <c r="AS930" s="3"/>
    </row>
    <row r="931" spans="1:45" ht="15">
      <c r="A931" s="66" t="s">
        <v>1106</v>
      </c>
      <c r="B931" s="67"/>
      <c r="C931" s="67"/>
      <c r="D931" s="68"/>
      <c r="E931" s="70"/>
      <c r="F931" s="100" t="str">
        <f>HYPERLINK("https://i.ytimg.com/vi/oJb6P6-pwZY/default.jpg")</f>
        <v>https://i.ytimg.com/vi/oJb6P6-pwZY/default.jpg</v>
      </c>
      <c r="G931" s="67"/>
      <c r="H931" s="71"/>
      <c r="I931" s="72"/>
      <c r="J931" s="72"/>
      <c r="K931" s="71" t="s">
        <v>2160</v>
      </c>
      <c r="L931" s="75"/>
      <c r="M931" s="76">
        <v>5203.7138671875</v>
      </c>
      <c r="N931" s="76">
        <v>3682.30517578125</v>
      </c>
      <c r="O931" s="77"/>
      <c r="P931" s="78"/>
      <c r="Q931" s="78"/>
      <c r="R931" s="82"/>
      <c r="S931" s="82"/>
      <c r="T931" s="82"/>
      <c r="U931" s="82"/>
      <c r="V931" s="52"/>
      <c r="W931" s="52"/>
      <c r="X931" s="52"/>
      <c r="Y931" s="52"/>
      <c r="Z931" s="51"/>
      <c r="AA931" s="73">
        <v>931</v>
      </c>
      <c r="AB931" s="73"/>
      <c r="AC931" s="74"/>
      <c r="AD931" s="80" t="s">
        <v>2160</v>
      </c>
      <c r="AE931" s="80"/>
      <c r="AF931" s="80"/>
      <c r="AG931" s="80" t="s">
        <v>4500</v>
      </c>
      <c r="AH931" s="80" t="s">
        <v>5484</v>
      </c>
      <c r="AI931" s="80">
        <v>6124</v>
      </c>
      <c r="AJ931" s="80">
        <v>0</v>
      </c>
      <c r="AK931" s="80">
        <v>92</v>
      </c>
      <c r="AL931" s="80">
        <v>6</v>
      </c>
      <c r="AM931" s="80" t="s">
        <v>5614</v>
      </c>
      <c r="AN931" s="102" t="str">
        <f>HYPERLINK("https://www.youtube.com/watch?v=oJb6P6-pwZY")</f>
        <v>https://www.youtube.com/watch?v=oJb6P6-pwZY</v>
      </c>
      <c r="AO931" s="2"/>
      <c r="AP931" s="3"/>
      <c r="AQ931" s="3"/>
      <c r="AR931" s="3"/>
      <c r="AS931" s="3"/>
    </row>
    <row r="932" spans="1:45" ht="15">
      <c r="A932" s="66" t="s">
        <v>1107</v>
      </c>
      <c r="B932" s="67"/>
      <c r="C932" s="67"/>
      <c r="D932" s="68"/>
      <c r="E932" s="70"/>
      <c r="F932" s="100" t="str">
        <f>HYPERLINK("https://i.ytimg.com/vi/66iOdtRv91o/default.jpg")</f>
        <v>https://i.ytimg.com/vi/66iOdtRv91o/default.jpg</v>
      </c>
      <c r="G932" s="67"/>
      <c r="H932" s="71"/>
      <c r="I932" s="72"/>
      <c r="J932" s="72"/>
      <c r="K932" s="71" t="s">
        <v>2161</v>
      </c>
      <c r="L932" s="75"/>
      <c r="M932" s="76">
        <v>6216.640625</v>
      </c>
      <c r="N932" s="76">
        <v>5421.3212890625</v>
      </c>
      <c r="O932" s="77"/>
      <c r="P932" s="78"/>
      <c r="Q932" s="78"/>
      <c r="R932" s="82"/>
      <c r="S932" s="82"/>
      <c r="T932" s="82"/>
      <c r="U932" s="82"/>
      <c r="V932" s="52"/>
      <c r="W932" s="52"/>
      <c r="X932" s="52"/>
      <c r="Y932" s="52"/>
      <c r="Z932" s="51"/>
      <c r="AA932" s="73">
        <v>932</v>
      </c>
      <c r="AB932" s="73"/>
      <c r="AC932" s="74"/>
      <c r="AD932" s="80" t="s">
        <v>2161</v>
      </c>
      <c r="AE932" s="80"/>
      <c r="AF932" s="80" t="s">
        <v>3766</v>
      </c>
      <c r="AG932" s="80" t="s">
        <v>4054</v>
      </c>
      <c r="AH932" s="80" t="s">
        <v>5485</v>
      </c>
      <c r="AI932" s="80">
        <v>207</v>
      </c>
      <c r="AJ932" s="80">
        <v>0</v>
      </c>
      <c r="AK932" s="80">
        <v>7</v>
      </c>
      <c r="AL932" s="80">
        <v>1</v>
      </c>
      <c r="AM932" s="80" t="s">
        <v>5614</v>
      </c>
      <c r="AN932" s="102" t="str">
        <f>HYPERLINK("https://www.youtube.com/watch?v=66iOdtRv91o")</f>
        <v>https://www.youtube.com/watch?v=66iOdtRv91o</v>
      </c>
      <c r="AO932" s="2"/>
      <c r="AP932" s="3"/>
      <c r="AQ932" s="3"/>
      <c r="AR932" s="3"/>
      <c r="AS932" s="3"/>
    </row>
    <row r="933" spans="1:45" ht="15">
      <c r="A933" s="66" t="s">
        <v>1108</v>
      </c>
      <c r="B933" s="67"/>
      <c r="C933" s="67"/>
      <c r="D933" s="68"/>
      <c r="E933" s="70"/>
      <c r="F933" s="100" t="str">
        <f>HYPERLINK("https://i.ytimg.com/vi/Q3DxW7naz1Y/default.jpg")</f>
        <v>https://i.ytimg.com/vi/Q3DxW7naz1Y/default.jpg</v>
      </c>
      <c r="G933" s="67"/>
      <c r="H933" s="71"/>
      <c r="I933" s="72"/>
      <c r="J933" s="72"/>
      <c r="K933" s="71" t="s">
        <v>2162</v>
      </c>
      <c r="L933" s="75"/>
      <c r="M933" s="76">
        <v>7132.78759765625</v>
      </c>
      <c r="N933" s="76">
        <v>5034.7890625</v>
      </c>
      <c r="O933" s="77"/>
      <c r="P933" s="78"/>
      <c r="Q933" s="78"/>
      <c r="R933" s="82"/>
      <c r="S933" s="82"/>
      <c r="T933" s="82"/>
      <c r="U933" s="82"/>
      <c r="V933" s="52"/>
      <c r="W933" s="52"/>
      <c r="X933" s="52"/>
      <c r="Y933" s="52"/>
      <c r="Z933" s="51"/>
      <c r="AA933" s="73">
        <v>933</v>
      </c>
      <c r="AB933" s="73"/>
      <c r="AC933" s="74"/>
      <c r="AD933" s="80" t="s">
        <v>2162</v>
      </c>
      <c r="AE933" s="80" t="s">
        <v>3065</v>
      </c>
      <c r="AF933" s="80"/>
      <c r="AG933" s="80" t="s">
        <v>4501</v>
      </c>
      <c r="AH933" s="80" t="s">
        <v>5486</v>
      </c>
      <c r="AI933" s="80">
        <v>4023</v>
      </c>
      <c r="AJ933" s="80">
        <v>0</v>
      </c>
      <c r="AK933" s="80">
        <v>64</v>
      </c>
      <c r="AL933" s="80">
        <v>11</v>
      </c>
      <c r="AM933" s="80" t="s">
        <v>5614</v>
      </c>
      <c r="AN933" s="102" t="str">
        <f>HYPERLINK("https://www.youtube.com/watch?v=Q3DxW7naz1Y")</f>
        <v>https://www.youtube.com/watch?v=Q3DxW7naz1Y</v>
      </c>
      <c r="AO933" s="2"/>
      <c r="AP933" s="3"/>
      <c r="AQ933" s="3"/>
      <c r="AR933" s="3"/>
      <c r="AS933" s="3"/>
    </row>
    <row r="934" spans="1:45" ht="15">
      <c r="A934" s="66" t="s">
        <v>1109</v>
      </c>
      <c r="B934" s="67"/>
      <c r="C934" s="67"/>
      <c r="D934" s="68"/>
      <c r="E934" s="70"/>
      <c r="F934" s="100" t="str">
        <f>HYPERLINK("https://i.ytimg.com/vi/TUAVW_cveg4/default.jpg")</f>
        <v>https://i.ytimg.com/vi/TUAVW_cveg4/default.jpg</v>
      </c>
      <c r="G934" s="67"/>
      <c r="H934" s="71"/>
      <c r="I934" s="72"/>
      <c r="J934" s="72"/>
      <c r="K934" s="71" t="s">
        <v>2163</v>
      </c>
      <c r="L934" s="75"/>
      <c r="M934" s="76">
        <v>5109.2607421875</v>
      </c>
      <c r="N934" s="76">
        <v>3956.435791015625</v>
      </c>
      <c r="O934" s="77"/>
      <c r="P934" s="78"/>
      <c r="Q934" s="78"/>
      <c r="R934" s="82"/>
      <c r="S934" s="82"/>
      <c r="T934" s="82"/>
      <c r="U934" s="82"/>
      <c r="V934" s="52"/>
      <c r="W934" s="52"/>
      <c r="X934" s="52"/>
      <c r="Y934" s="52"/>
      <c r="Z934" s="51"/>
      <c r="AA934" s="73">
        <v>934</v>
      </c>
      <c r="AB934" s="73"/>
      <c r="AC934" s="74"/>
      <c r="AD934" s="80" t="s">
        <v>2163</v>
      </c>
      <c r="AE934" s="80" t="s">
        <v>3066</v>
      </c>
      <c r="AF934" s="80" t="s">
        <v>3767</v>
      </c>
      <c r="AG934" s="80" t="s">
        <v>4502</v>
      </c>
      <c r="AH934" s="80" t="s">
        <v>5487</v>
      </c>
      <c r="AI934" s="80">
        <v>20535</v>
      </c>
      <c r="AJ934" s="80">
        <v>54</v>
      </c>
      <c r="AK934" s="80">
        <v>656</v>
      </c>
      <c r="AL934" s="80">
        <v>16</v>
      </c>
      <c r="AM934" s="80" t="s">
        <v>5614</v>
      </c>
      <c r="AN934" s="102" t="str">
        <f>HYPERLINK("https://www.youtube.com/watch?v=TUAVW_cveg4")</f>
        <v>https://www.youtube.com/watch?v=TUAVW_cveg4</v>
      </c>
      <c r="AO934" s="2"/>
      <c r="AP934" s="3"/>
      <c r="AQ934" s="3"/>
      <c r="AR934" s="3"/>
      <c r="AS934" s="3"/>
    </row>
    <row r="935" spans="1:45" ht="15">
      <c r="A935" s="66" t="s">
        <v>1110</v>
      </c>
      <c r="B935" s="67"/>
      <c r="C935" s="67"/>
      <c r="D935" s="68"/>
      <c r="E935" s="70"/>
      <c r="F935" s="100" t="str">
        <f>HYPERLINK("https://i.ytimg.com/vi/f2MbVNvPtTs/default.jpg")</f>
        <v>https://i.ytimg.com/vi/f2MbVNvPtTs/default.jpg</v>
      </c>
      <c r="G935" s="67"/>
      <c r="H935" s="71"/>
      <c r="I935" s="72"/>
      <c r="J935" s="72"/>
      <c r="K935" s="71" t="s">
        <v>2164</v>
      </c>
      <c r="L935" s="75"/>
      <c r="M935" s="76">
        <v>4943.87646484375</v>
      </c>
      <c r="N935" s="76">
        <v>3957.820556640625</v>
      </c>
      <c r="O935" s="77"/>
      <c r="P935" s="78"/>
      <c r="Q935" s="78"/>
      <c r="R935" s="82"/>
      <c r="S935" s="82"/>
      <c r="T935" s="82"/>
      <c r="U935" s="82"/>
      <c r="V935" s="52"/>
      <c r="W935" s="52"/>
      <c r="X935" s="52"/>
      <c r="Y935" s="52"/>
      <c r="Z935" s="51"/>
      <c r="AA935" s="73">
        <v>935</v>
      </c>
      <c r="AB935" s="73"/>
      <c r="AC935" s="74"/>
      <c r="AD935" s="80" t="s">
        <v>2164</v>
      </c>
      <c r="AE935" s="80" t="s">
        <v>3067</v>
      </c>
      <c r="AF935" s="80" t="s">
        <v>3768</v>
      </c>
      <c r="AG935" s="80" t="s">
        <v>4503</v>
      </c>
      <c r="AH935" s="80" t="s">
        <v>5488</v>
      </c>
      <c r="AI935" s="80">
        <v>192</v>
      </c>
      <c r="AJ935" s="80">
        <v>3</v>
      </c>
      <c r="AK935" s="80">
        <v>13</v>
      </c>
      <c r="AL935" s="80">
        <v>0</v>
      </c>
      <c r="AM935" s="80" t="s">
        <v>5614</v>
      </c>
      <c r="AN935" s="102" t="str">
        <f>HYPERLINK("https://www.youtube.com/watch?v=f2MbVNvPtTs")</f>
        <v>https://www.youtube.com/watch?v=f2MbVNvPtTs</v>
      </c>
      <c r="AO935" s="2"/>
      <c r="AP935" s="3"/>
      <c r="AQ935" s="3"/>
      <c r="AR935" s="3"/>
      <c r="AS935" s="3"/>
    </row>
    <row r="936" spans="1:45" ht="15">
      <c r="A936" s="66" t="s">
        <v>1111</v>
      </c>
      <c r="B936" s="67"/>
      <c r="C936" s="67"/>
      <c r="D936" s="68"/>
      <c r="E936" s="70"/>
      <c r="F936" s="100" t="str">
        <f>HYPERLINK("https://i.ytimg.com/vi/Xql7DY63Ktc/default.jpg")</f>
        <v>https://i.ytimg.com/vi/Xql7DY63Ktc/default.jpg</v>
      </c>
      <c r="G936" s="67"/>
      <c r="H936" s="71"/>
      <c r="I936" s="72"/>
      <c r="J936" s="72"/>
      <c r="K936" s="71" t="s">
        <v>2165</v>
      </c>
      <c r="L936" s="75"/>
      <c r="M936" s="76">
        <v>6490.9833984375</v>
      </c>
      <c r="N936" s="76">
        <v>5426.80615234375</v>
      </c>
      <c r="O936" s="77"/>
      <c r="P936" s="78"/>
      <c r="Q936" s="78"/>
      <c r="R936" s="82"/>
      <c r="S936" s="82"/>
      <c r="T936" s="82"/>
      <c r="U936" s="82"/>
      <c r="V936" s="52"/>
      <c r="W936" s="52"/>
      <c r="X936" s="52"/>
      <c r="Y936" s="52"/>
      <c r="Z936" s="51"/>
      <c r="AA936" s="73">
        <v>936</v>
      </c>
      <c r="AB936" s="73"/>
      <c r="AC936" s="74"/>
      <c r="AD936" s="80" t="s">
        <v>2165</v>
      </c>
      <c r="AE936" s="80" t="s">
        <v>3068</v>
      </c>
      <c r="AF936" s="80"/>
      <c r="AG936" s="80" t="s">
        <v>4504</v>
      </c>
      <c r="AH936" s="80" t="s">
        <v>5489</v>
      </c>
      <c r="AI936" s="80">
        <v>3026</v>
      </c>
      <c r="AJ936" s="80">
        <v>20</v>
      </c>
      <c r="AK936" s="80">
        <v>102</v>
      </c>
      <c r="AL936" s="80">
        <v>3</v>
      </c>
      <c r="AM936" s="80" t="s">
        <v>5614</v>
      </c>
      <c r="AN936" s="102" t="str">
        <f>HYPERLINK("https://www.youtube.com/watch?v=Xql7DY63Ktc")</f>
        <v>https://www.youtube.com/watch?v=Xql7DY63Ktc</v>
      </c>
      <c r="AO936" s="2"/>
      <c r="AP936" s="3"/>
      <c r="AQ936" s="3"/>
      <c r="AR936" s="3"/>
      <c r="AS936" s="3"/>
    </row>
    <row r="937" spans="1:45" ht="15">
      <c r="A937" s="66" t="s">
        <v>1112</v>
      </c>
      <c r="B937" s="67"/>
      <c r="C937" s="67"/>
      <c r="D937" s="68"/>
      <c r="E937" s="70"/>
      <c r="F937" s="100" t="str">
        <f>HYPERLINK("https://i.ytimg.com/vi/gfuPl9xbzDE/default.jpg")</f>
        <v>https://i.ytimg.com/vi/gfuPl9xbzDE/default.jpg</v>
      </c>
      <c r="G937" s="67"/>
      <c r="H937" s="71"/>
      <c r="I937" s="72"/>
      <c r="J937" s="72"/>
      <c r="K937" s="71" t="s">
        <v>1617</v>
      </c>
      <c r="L937" s="75"/>
      <c r="M937" s="76">
        <v>6673.3193359375</v>
      </c>
      <c r="N937" s="76">
        <v>3141.05419921875</v>
      </c>
      <c r="O937" s="77"/>
      <c r="P937" s="78"/>
      <c r="Q937" s="78"/>
      <c r="R937" s="82"/>
      <c r="S937" s="82"/>
      <c r="T937" s="82"/>
      <c r="U937" s="82"/>
      <c r="V937" s="52"/>
      <c r="W937" s="52"/>
      <c r="X937" s="52"/>
      <c r="Y937" s="52"/>
      <c r="Z937" s="51"/>
      <c r="AA937" s="73">
        <v>937</v>
      </c>
      <c r="AB937" s="73"/>
      <c r="AC937" s="74"/>
      <c r="AD937" s="80" t="s">
        <v>1617</v>
      </c>
      <c r="AE937" s="80" t="s">
        <v>3069</v>
      </c>
      <c r="AF937" s="80"/>
      <c r="AG937" s="80" t="s">
        <v>4505</v>
      </c>
      <c r="AH937" s="80" t="s">
        <v>5490</v>
      </c>
      <c r="AI937" s="80">
        <v>1384</v>
      </c>
      <c r="AJ937" s="80">
        <v>8</v>
      </c>
      <c r="AK937" s="80">
        <v>58</v>
      </c>
      <c r="AL937" s="80">
        <v>1</v>
      </c>
      <c r="AM937" s="80" t="s">
        <v>5614</v>
      </c>
      <c r="AN937" s="102" t="str">
        <f>HYPERLINK("https://www.youtube.com/watch?v=gfuPl9xbzDE")</f>
        <v>https://www.youtube.com/watch?v=gfuPl9xbzDE</v>
      </c>
      <c r="AO937" s="2"/>
      <c r="AP937" s="3"/>
      <c r="AQ937" s="3"/>
      <c r="AR937" s="3"/>
      <c r="AS937" s="3"/>
    </row>
    <row r="938" spans="1:45" ht="15">
      <c r="A938" s="66" t="s">
        <v>1113</v>
      </c>
      <c r="B938" s="67"/>
      <c r="C938" s="67"/>
      <c r="D938" s="68"/>
      <c r="E938" s="70"/>
      <c r="F938" s="100" t="str">
        <f>HYPERLINK("https://i.ytimg.com/vi/Bnh0Xu4F3Ww/default.jpg")</f>
        <v>https://i.ytimg.com/vi/Bnh0Xu4F3Ww/default.jpg</v>
      </c>
      <c r="G938" s="67"/>
      <c r="H938" s="71"/>
      <c r="I938" s="72"/>
      <c r="J938" s="72"/>
      <c r="K938" s="71" t="s">
        <v>2166</v>
      </c>
      <c r="L938" s="75"/>
      <c r="M938" s="76">
        <v>6618.1083984375</v>
      </c>
      <c r="N938" s="76">
        <v>5469.0146484375</v>
      </c>
      <c r="O938" s="77"/>
      <c r="P938" s="78"/>
      <c r="Q938" s="78"/>
      <c r="R938" s="82"/>
      <c r="S938" s="82"/>
      <c r="T938" s="82"/>
      <c r="U938" s="82"/>
      <c r="V938" s="52"/>
      <c r="W938" s="52"/>
      <c r="X938" s="52"/>
      <c r="Y938" s="52"/>
      <c r="Z938" s="51"/>
      <c r="AA938" s="73">
        <v>938</v>
      </c>
      <c r="AB938" s="73"/>
      <c r="AC938" s="74"/>
      <c r="AD938" s="80" t="s">
        <v>2166</v>
      </c>
      <c r="AE938" s="80"/>
      <c r="AF938" s="80"/>
      <c r="AG938" s="80" t="s">
        <v>4506</v>
      </c>
      <c r="AH938" s="80" t="s">
        <v>5491</v>
      </c>
      <c r="AI938" s="80">
        <v>109619</v>
      </c>
      <c r="AJ938" s="80">
        <v>12</v>
      </c>
      <c r="AK938" s="80">
        <v>806</v>
      </c>
      <c r="AL938" s="80">
        <v>55</v>
      </c>
      <c r="AM938" s="80" t="s">
        <v>5614</v>
      </c>
      <c r="AN938" s="102" t="str">
        <f>HYPERLINK("https://www.youtube.com/watch?v=Bnh0Xu4F3Ww")</f>
        <v>https://www.youtube.com/watch?v=Bnh0Xu4F3Ww</v>
      </c>
      <c r="AO938" s="2"/>
      <c r="AP938" s="3"/>
      <c r="AQ938" s="3"/>
      <c r="AR938" s="3"/>
      <c r="AS938" s="3"/>
    </row>
    <row r="939" spans="1:45" ht="15">
      <c r="A939" s="66" t="s">
        <v>1114</v>
      </c>
      <c r="B939" s="67"/>
      <c r="C939" s="67"/>
      <c r="D939" s="68"/>
      <c r="E939" s="70"/>
      <c r="F939" s="100" t="str">
        <f>HYPERLINK("https://i.ytimg.com/vi/jyQ_Pn7sFKY/default.jpg")</f>
        <v>https://i.ytimg.com/vi/jyQ_Pn7sFKY/default.jpg</v>
      </c>
      <c r="G939" s="67"/>
      <c r="H939" s="71"/>
      <c r="I939" s="72"/>
      <c r="J939" s="72"/>
      <c r="K939" s="71" t="s">
        <v>2167</v>
      </c>
      <c r="L939" s="75"/>
      <c r="M939" s="76">
        <v>6999.4111328125</v>
      </c>
      <c r="N939" s="76">
        <v>5237.57470703125</v>
      </c>
      <c r="O939" s="77"/>
      <c r="P939" s="78"/>
      <c r="Q939" s="78"/>
      <c r="R939" s="82"/>
      <c r="S939" s="82"/>
      <c r="T939" s="82"/>
      <c r="U939" s="82"/>
      <c r="V939" s="52"/>
      <c r="W939" s="52"/>
      <c r="X939" s="52"/>
      <c r="Y939" s="52"/>
      <c r="Z939" s="51"/>
      <c r="AA939" s="73">
        <v>939</v>
      </c>
      <c r="AB939" s="73"/>
      <c r="AC939" s="74"/>
      <c r="AD939" s="80" t="s">
        <v>2167</v>
      </c>
      <c r="AE939" s="80" t="s">
        <v>3070</v>
      </c>
      <c r="AF939" s="80"/>
      <c r="AG939" s="80" t="s">
        <v>4507</v>
      </c>
      <c r="AH939" s="80" t="s">
        <v>5492</v>
      </c>
      <c r="AI939" s="80">
        <v>3795</v>
      </c>
      <c r="AJ939" s="80">
        <v>0</v>
      </c>
      <c r="AK939" s="80">
        <v>36</v>
      </c>
      <c r="AL939" s="80">
        <v>1</v>
      </c>
      <c r="AM939" s="80" t="s">
        <v>5614</v>
      </c>
      <c r="AN939" s="102" t="str">
        <f>HYPERLINK("https://www.youtube.com/watch?v=jyQ_Pn7sFKY")</f>
        <v>https://www.youtube.com/watch?v=jyQ_Pn7sFKY</v>
      </c>
      <c r="AO939" s="2"/>
      <c r="AP939" s="3"/>
      <c r="AQ939" s="3"/>
      <c r="AR939" s="3"/>
      <c r="AS939" s="3"/>
    </row>
    <row r="940" spans="1:45" ht="15">
      <c r="A940" s="66" t="s">
        <v>1115</v>
      </c>
      <c r="B940" s="67"/>
      <c r="C940" s="67"/>
      <c r="D940" s="68"/>
      <c r="E940" s="70"/>
      <c r="F940" s="100" t="str">
        <f>HYPERLINK("https://i.ytimg.com/vi/wm2VZOffRXQ/default.jpg")</f>
        <v>https://i.ytimg.com/vi/wm2VZOffRXQ/default.jpg</v>
      </c>
      <c r="G940" s="67"/>
      <c r="H940" s="71"/>
      <c r="I940" s="72"/>
      <c r="J940" s="72"/>
      <c r="K940" s="71" t="s">
        <v>2168</v>
      </c>
      <c r="L940" s="75"/>
      <c r="M940" s="76">
        <v>6803.95263671875</v>
      </c>
      <c r="N940" s="76">
        <v>5169.73388671875</v>
      </c>
      <c r="O940" s="77"/>
      <c r="P940" s="78"/>
      <c r="Q940" s="78"/>
      <c r="R940" s="82"/>
      <c r="S940" s="82"/>
      <c r="T940" s="82"/>
      <c r="U940" s="82"/>
      <c r="V940" s="52"/>
      <c r="W940" s="52"/>
      <c r="X940" s="52"/>
      <c r="Y940" s="52"/>
      <c r="Z940" s="51"/>
      <c r="AA940" s="73">
        <v>940</v>
      </c>
      <c r="AB940" s="73"/>
      <c r="AC940" s="74"/>
      <c r="AD940" s="80" t="s">
        <v>2168</v>
      </c>
      <c r="AE940" s="80" t="s">
        <v>3071</v>
      </c>
      <c r="AF940" s="80" t="s">
        <v>3769</v>
      </c>
      <c r="AG940" s="80" t="s">
        <v>3889</v>
      </c>
      <c r="AH940" s="80" t="s">
        <v>5493</v>
      </c>
      <c r="AI940" s="80">
        <v>38469</v>
      </c>
      <c r="AJ940" s="80">
        <v>3</v>
      </c>
      <c r="AK940" s="80">
        <v>201</v>
      </c>
      <c r="AL940" s="80">
        <v>9</v>
      </c>
      <c r="AM940" s="80" t="s">
        <v>5614</v>
      </c>
      <c r="AN940" s="102" t="str">
        <f>HYPERLINK("https://www.youtube.com/watch?v=wm2VZOffRXQ")</f>
        <v>https://www.youtube.com/watch?v=wm2VZOffRXQ</v>
      </c>
      <c r="AO940" s="2"/>
      <c r="AP940" s="3"/>
      <c r="AQ940" s="3"/>
      <c r="AR940" s="3"/>
      <c r="AS940" s="3"/>
    </row>
    <row r="941" spans="1:45" ht="15">
      <c r="A941" s="66" t="s">
        <v>1116</v>
      </c>
      <c r="B941" s="67"/>
      <c r="C941" s="67"/>
      <c r="D941" s="68"/>
      <c r="E941" s="70"/>
      <c r="F941" s="100" t="str">
        <f>HYPERLINK("https://i.ytimg.com/vi/7L2xdReZysQ/default.jpg")</f>
        <v>https://i.ytimg.com/vi/7L2xdReZysQ/default.jpg</v>
      </c>
      <c r="G941" s="67"/>
      <c r="H941" s="71"/>
      <c r="I941" s="72"/>
      <c r="J941" s="72"/>
      <c r="K941" s="71" t="s">
        <v>2169</v>
      </c>
      <c r="L941" s="75"/>
      <c r="M941" s="76">
        <v>6265.59228515625</v>
      </c>
      <c r="N941" s="76">
        <v>5400.2705078125</v>
      </c>
      <c r="O941" s="77"/>
      <c r="P941" s="78"/>
      <c r="Q941" s="78"/>
      <c r="R941" s="82"/>
      <c r="S941" s="82"/>
      <c r="T941" s="82"/>
      <c r="U941" s="82"/>
      <c r="V941" s="52"/>
      <c r="W941" s="52"/>
      <c r="X941" s="52"/>
      <c r="Y941" s="52"/>
      <c r="Z941" s="51"/>
      <c r="AA941" s="73">
        <v>941</v>
      </c>
      <c r="AB941" s="73"/>
      <c r="AC941" s="74"/>
      <c r="AD941" s="80" t="s">
        <v>2169</v>
      </c>
      <c r="AE941" s="80" t="s">
        <v>3072</v>
      </c>
      <c r="AF941" s="80" t="s">
        <v>3770</v>
      </c>
      <c r="AG941" s="80" t="s">
        <v>4508</v>
      </c>
      <c r="AH941" s="80" t="s">
        <v>5494</v>
      </c>
      <c r="AI941" s="80">
        <v>50613</v>
      </c>
      <c r="AJ941" s="80">
        <v>68</v>
      </c>
      <c r="AK941" s="80">
        <v>601</v>
      </c>
      <c r="AL941" s="80">
        <v>88</v>
      </c>
      <c r="AM941" s="80" t="s">
        <v>5614</v>
      </c>
      <c r="AN941" s="102" t="str">
        <f>HYPERLINK("https://www.youtube.com/watch?v=7L2xdReZysQ")</f>
        <v>https://www.youtube.com/watch?v=7L2xdReZysQ</v>
      </c>
      <c r="AO941" s="2"/>
      <c r="AP941" s="3"/>
      <c r="AQ941" s="3"/>
      <c r="AR941" s="3"/>
      <c r="AS941" s="3"/>
    </row>
    <row r="942" spans="1:45" ht="15">
      <c r="A942" s="66" t="s">
        <v>1117</v>
      </c>
      <c r="B942" s="67"/>
      <c r="C942" s="67"/>
      <c r="D942" s="68"/>
      <c r="E942" s="70"/>
      <c r="F942" s="100" t="str">
        <f>HYPERLINK("https://i.ytimg.com/vi/Un7Xj17XnpI/default.jpg")</f>
        <v>https://i.ytimg.com/vi/Un7Xj17XnpI/default.jpg</v>
      </c>
      <c r="G942" s="67"/>
      <c r="H942" s="71"/>
      <c r="I942" s="72"/>
      <c r="J942" s="72"/>
      <c r="K942" s="71" t="s">
        <v>2170</v>
      </c>
      <c r="L942" s="75"/>
      <c r="M942" s="76">
        <v>7025.1533203125</v>
      </c>
      <c r="N942" s="76">
        <v>5221.32470703125</v>
      </c>
      <c r="O942" s="77"/>
      <c r="P942" s="78"/>
      <c r="Q942" s="78"/>
      <c r="R942" s="82"/>
      <c r="S942" s="82"/>
      <c r="T942" s="82"/>
      <c r="U942" s="82"/>
      <c r="V942" s="52"/>
      <c r="W942" s="52"/>
      <c r="X942" s="52"/>
      <c r="Y942" s="52"/>
      <c r="Z942" s="51"/>
      <c r="AA942" s="73">
        <v>942</v>
      </c>
      <c r="AB942" s="73"/>
      <c r="AC942" s="74"/>
      <c r="AD942" s="80" t="s">
        <v>2170</v>
      </c>
      <c r="AE942" s="80" t="s">
        <v>3073</v>
      </c>
      <c r="AF942" s="80" t="s">
        <v>3771</v>
      </c>
      <c r="AG942" s="80" t="s">
        <v>4017</v>
      </c>
      <c r="AH942" s="80" t="s">
        <v>5495</v>
      </c>
      <c r="AI942" s="80">
        <v>94713</v>
      </c>
      <c r="AJ942" s="80">
        <v>28</v>
      </c>
      <c r="AK942" s="80">
        <v>674</v>
      </c>
      <c r="AL942" s="80">
        <v>34</v>
      </c>
      <c r="AM942" s="80" t="s">
        <v>5614</v>
      </c>
      <c r="AN942" s="102" t="str">
        <f>HYPERLINK("https://www.youtube.com/watch?v=Un7Xj17XnpI")</f>
        <v>https://www.youtube.com/watch?v=Un7Xj17XnpI</v>
      </c>
      <c r="AO942" s="2"/>
      <c r="AP942" s="3"/>
      <c r="AQ942" s="3"/>
      <c r="AR942" s="3"/>
      <c r="AS942" s="3"/>
    </row>
    <row r="943" spans="1:45" ht="15">
      <c r="A943" s="66" t="s">
        <v>1118</v>
      </c>
      <c r="B943" s="67"/>
      <c r="C943" s="67"/>
      <c r="D943" s="68"/>
      <c r="E943" s="70"/>
      <c r="F943" s="100" t="str">
        <f>HYPERLINK("https://i.ytimg.com/vi/uxO6iA1MhQc/default.jpg")</f>
        <v>https://i.ytimg.com/vi/uxO6iA1MhQc/default.jpg</v>
      </c>
      <c r="G943" s="67"/>
      <c r="H943" s="71"/>
      <c r="I943" s="72"/>
      <c r="J943" s="72"/>
      <c r="K943" s="71" t="s">
        <v>2171</v>
      </c>
      <c r="L943" s="75"/>
      <c r="M943" s="76">
        <v>6414.00341796875</v>
      </c>
      <c r="N943" s="76">
        <v>5459.69921875</v>
      </c>
      <c r="O943" s="77"/>
      <c r="P943" s="78"/>
      <c r="Q943" s="78"/>
      <c r="R943" s="82"/>
      <c r="S943" s="82"/>
      <c r="T943" s="82"/>
      <c r="U943" s="82"/>
      <c r="V943" s="52"/>
      <c r="W943" s="52"/>
      <c r="X943" s="52"/>
      <c r="Y943" s="52"/>
      <c r="Z943" s="51"/>
      <c r="AA943" s="73">
        <v>943</v>
      </c>
      <c r="AB943" s="73"/>
      <c r="AC943" s="74"/>
      <c r="AD943" s="80" t="s">
        <v>2171</v>
      </c>
      <c r="AE943" s="80" t="s">
        <v>3074</v>
      </c>
      <c r="AF943" s="80" t="s">
        <v>3772</v>
      </c>
      <c r="AG943" s="80" t="s">
        <v>4509</v>
      </c>
      <c r="AH943" s="80" t="s">
        <v>5496</v>
      </c>
      <c r="AI943" s="80">
        <v>24386</v>
      </c>
      <c r="AJ943" s="80">
        <v>28</v>
      </c>
      <c r="AK943" s="80">
        <v>368</v>
      </c>
      <c r="AL943" s="80">
        <v>8</v>
      </c>
      <c r="AM943" s="80" t="s">
        <v>5614</v>
      </c>
      <c r="AN943" s="102" t="str">
        <f>HYPERLINK("https://www.youtube.com/watch?v=uxO6iA1MhQc")</f>
        <v>https://www.youtube.com/watch?v=uxO6iA1MhQc</v>
      </c>
      <c r="AO943" s="2"/>
      <c r="AP943" s="3"/>
      <c r="AQ943" s="3"/>
      <c r="AR943" s="3"/>
      <c r="AS943" s="3"/>
    </row>
    <row r="944" spans="1:45" ht="15">
      <c r="A944" s="66" t="s">
        <v>1119</v>
      </c>
      <c r="B944" s="67"/>
      <c r="C944" s="67"/>
      <c r="D944" s="68"/>
      <c r="E944" s="70"/>
      <c r="F944" s="100" t="str">
        <f>HYPERLINK("https://i.ytimg.com/vi/WfmN7XbH1RI/default.jpg")</f>
        <v>https://i.ytimg.com/vi/WfmN7XbH1RI/default.jpg</v>
      </c>
      <c r="G944" s="67"/>
      <c r="H944" s="71"/>
      <c r="I944" s="72"/>
      <c r="J944" s="72"/>
      <c r="K944" s="71" t="s">
        <v>2172</v>
      </c>
      <c r="L944" s="75"/>
      <c r="M944" s="76">
        <v>6023.65087890625</v>
      </c>
      <c r="N944" s="76">
        <v>3079.5576171875</v>
      </c>
      <c r="O944" s="77"/>
      <c r="P944" s="78"/>
      <c r="Q944" s="78"/>
      <c r="R944" s="82"/>
      <c r="S944" s="82"/>
      <c r="T944" s="82"/>
      <c r="U944" s="82"/>
      <c r="V944" s="52"/>
      <c r="W944" s="52"/>
      <c r="X944" s="52"/>
      <c r="Y944" s="52"/>
      <c r="Z944" s="51"/>
      <c r="AA944" s="73">
        <v>944</v>
      </c>
      <c r="AB944" s="73"/>
      <c r="AC944" s="74"/>
      <c r="AD944" s="80" t="s">
        <v>2172</v>
      </c>
      <c r="AE944" s="80" t="s">
        <v>3075</v>
      </c>
      <c r="AF944" s="80"/>
      <c r="AG944" s="80" t="s">
        <v>4510</v>
      </c>
      <c r="AH944" s="80" t="s">
        <v>5497</v>
      </c>
      <c r="AI944" s="80">
        <v>3805</v>
      </c>
      <c r="AJ944" s="80">
        <v>2</v>
      </c>
      <c r="AK944" s="80">
        <v>89</v>
      </c>
      <c r="AL944" s="80">
        <v>2</v>
      </c>
      <c r="AM944" s="80" t="s">
        <v>5614</v>
      </c>
      <c r="AN944" s="102" t="str">
        <f>HYPERLINK("https://www.youtube.com/watch?v=WfmN7XbH1RI")</f>
        <v>https://www.youtube.com/watch?v=WfmN7XbH1RI</v>
      </c>
      <c r="AO944" s="2"/>
      <c r="AP944" s="3"/>
      <c r="AQ944" s="3"/>
      <c r="AR944" s="3"/>
      <c r="AS944" s="3"/>
    </row>
    <row r="945" spans="1:45" ht="15">
      <c r="A945" s="66" t="s">
        <v>1120</v>
      </c>
      <c r="B945" s="67"/>
      <c r="C945" s="67"/>
      <c r="D945" s="68"/>
      <c r="E945" s="70"/>
      <c r="F945" s="100" t="str">
        <f>HYPERLINK("https://i.ytimg.com/vi/zE9cd3vP73Y/default.jpg")</f>
        <v>https://i.ytimg.com/vi/zE9cd3vP73Y/default.jpg</v>
      </c>
      <c r="G945" s="67"/>
      <c r="H945" s="71"/>
      <c r="I945" s="72"/>
      <c r="J945" s="72"/>
      <c r="K945" s="71" t="s">
        <v>2173</v>
      </c>
      <c r="L945" s="75"/>
      <c r="M945" s="76">
        <v>6935.40380859375</v>
      </c>
      <c r="N945" s="76">
        <v>5219.9609375</v>
      </c>
      <c r="O945" s="77"/>
      <c r="P945" s="78"/>
      <c r="Q945" s="78"/>
      <c r="R945" s="82"/>
      <c r="S945" s="82"/>
      <c r="T945" s="82"/>
      <c r="U945" s="82"/>
      <c r="V945" s="52"/>
      <c r="W945" s="52"/>
      <c r="X945" s="52"/>
      <c r="Y945" s="52"/>
      <c r="Z945" s="51"/>
      <c r="AA945" s="73">
        <v>945</v>
      </c>
      <c r="AB945" s="73"/>
      <c r="AC945" s="74"/>
      <c r="AD945" s="80" t="s">
        <v>2173</v>
      </c>
      <c r="AE945" s="80" t="s">
        <v>3076</v>
      </c>
      <c r="AF945" s="80" t="s">
        <v>3773</v>
      </c>
      <c r="AG945" s="80" t="s">
        <v>4511</v>
      </c>
      <c r="AH945" s="80" t="s">
        <v>5498</v>
      </c>
      <c r="AI945" s="80">
        <v>134021</v>
      </c>
      <c r="AJ945" s="80">
        <v>1194</v>
      </c>
      <c r="AK945" s="80">
        <v>8284</v>
      </c>
      <c r="AL945" s="80">
        <v>148</v>
      </c>
      <c r="AM945" s="80" t="s">
        <v>5614</v>
      </c>
      <c r="AN945" s="102" t="str">
        <f>HYPERLINK("https://www.youtube.com/watch?v=zE9cd3vP73Y")</f>
        <v>https://www.youtube.com/watch?v=zE9cd3vP73Y</v>
      </c>
      <c r="AO945" s="2"/>
      <c r="AP945" s="3"/>
      <c r="AQ945" s="3"/>
      <c r="AR945" s="3"/>
      <c r="AS945" s="3"/>
    </row>
    <row r="946" spans="1:45" ht="15">
      <c r="A946" s="66" t="s">
        <v>1121</v>
      </c>
      <c r="B946" s="67"/>
      <c r="C946" s="67"/>
      <c r="D946" s="68"/>
      <c r="E946" s="70"/>
      <c r="F946" s="100" t="str">
        <f>HYPERLINK("https://i.ytimg.com/vi/Ti2yRWTSgWA/default.jpg")</f>
        <v>https://i.ytimg.com/vi/Ti2yRWTSgWA/default.jpg</v>
      </c>
      <c r="G946" s="67"/>
      <c r="H946" s="71"/>
      <c r="I946" s="72"/>
      <c r="J946" s="72"/>
      <c r="K946" s="71" t="s">
        <v>2174</v>
      </c>
      <c r="L946" s="75"/>
      <c r="M946" s="76">
        <v>6523.09228515625</v>
      </c>
      <c r="N946" s="76">
        <v>5360.060546875</v>
      </c>
      <c r="O946" s="77"/>
      <c r="P946" s="78"/>
      <c r="Q946" s="78"/>
      <c r="R946" s="82"/>
      <c r="S946" s="82"/>
      <c r="T946" s="82"/>
      <c r="U946" s="82"/>
      <c r="V946" s="52"/>
      <c r="W946" s="52"/>
      <c r="X946" s="52"/>
      <c r="Y946" s="52"/>
      <c r="Z946" s="51"/>
      <c r="AA946" s="73">
        <v>946</v>
      </c>
      <c r="AB946" s="73"/>
      <c r="AC946" s="74"/>
      <c r="AD946" s="80" t="s">
        <v>2174</v>
      </c>
      <c r="AE946" s="80" t="s">
        <v>3077</v>
      </c>
      <c r="AF946" s="80"/>
      <c r="AG946" s="80" t="s">
        <v>4054</v>
      </c>
      <c r="AH946" s="80" t="s">
        <v>5499</v>
      </c>
      <c r="AI946" s="80">
        <v>230</v>
      </c>
      <c r="AJ946" s="80">
        <v>6</v>
      </c>
      <c r="AK946" s="80">
        <v>7</v>
      </c>
      <c r="AL946" s="80">
        <v>0</v>
      </c>
      <c r="AM946" s="80" t="s">
        <v>5614</v>
      </c>
      <c r="AN946" s="102" t="str">
        <f>HYPERLINK("https://www.youtube.com/watch?v=Ti2yRWTSgWA")</f>
        <v>https://www.youtube.com/watch?v=Ti2yRWTSgWA</v>
      </c>
      <c r="AO946" s="2"/>
      <c r="AP946" s="3"/>
      <c r="AQ946" s="3"/>
      <c r="AR946" s="3"/>
      <c r="AS946" s="3"/>
    </row>
    <row r="947" spans="1:45" ht="15">
      <c r="A947" s="66" t="s">
        <v>1122</v>
      </c>
      <c r="B947" s="67"/>
      <c r="C947" s="67"/>
      <c r="D947" s="68"/>
      <c r="E947" s="70"/>
      <c r="F947" s="100" t="str">
        <f>HYPERLINK("https://i.ytimg.com/vi/sSv441vom8o/default.jpg")</f>
        <v>https://i.ytimg.com/vi/sSv441vom8o/default.jpg</v>
      </c>
      <c r="G947" s="67"/>
      <c r="H947" s="71"/>
      <c r="I947" s="72"/>
      <c r="J947" s="72"/>
      <c r="K947" s="71" t="s">
        <v>2175</v>
      </c>
      <c r="L947" s="75"/>
      <c r="M947" s="76">
        <v>6898.37353515625</v>
      </c>
      <c r="N947" s="76">
        <v>5202.16064453125</v>
      </c>
      <c r="O947" s="77"/>
      <c r="P947" s="78"/>
      <c r="Q947" s="78"/>
      <c r="R947" s="82"/>
      <c r="S947" s="82"/>
      <c r="T947" s="82"/>
      <c r="U947" s="82"/>
      <c r="V947" s="52"/>
      <c r="W947" s="52"/>
      <c r="X947" s="52"/>
      <c r="Y947" s="52"/>
      <c r="Z947" s="51"/>
      <c r="AA947" s="73">
        <v>947</v>
      </c>
      <c r="AB947" s="73"/>
      <c r="AC947" s="74"/>
      <c r="AD947" s="80" t="s">
        <v>2175</v>
      </c>
      <c r="AE947" s="80" t="s">
        <v>3078</v>
      </c>
      <c r="AF947" s="80" t="s">
        <v>3631</v>
      </c>
      <c r="AG947" s="80" t="s">
        <v>3884</v>
      </c>
      <c r="AH947" s="80" t="s">
        <v>5500</v>
      </c>
      <c r="AI947" s="80">
        <v>617</v>
      </c>
      <c r="AJ947" s="80">
        <v>1</v>
      </c>
      <c r="AK947" s="80">
        <v>11</v>
      </c>
      <c r="AL947" s="80">
        <v>0</v>
      </c>
      <c r="AM947" s="80" t="s">
        <v>5614</v>
      </c>
      <c r="AN947" s="102" t="str">
        <f>HYPERLINK("https://www.youtube.com/watch?v=sSv441vom8o")</f>
        <v>https://www.youtube.com/watch?v=sSv441vom8o</v>
      </c>
      <c r="AO947" s="2"/>
      <c r="AP947" s="3"/>
      <c r="AQ947" s="3"/>
      <c r="AR947" s="3"/>
      <c r="AS947" s="3"/>
    </row>
    <row r="948" spans="1:45" ht="15">
      <c r="A948" s="66" t="s">
        <v>1123</v>
      </c>
      <c r="B948" s="67"/>
      <c r="C948" s="67"/>
      <c r="D948" s="68"/>
      <c r="E948" s="70"/>
      <c r="F948" s="100" t="str">
        <f>HYPERLINK("https://i.ytimg.com/vi/RRxfbtVskd0/default.jpg")</f>
        <v>https://i.ytimg.com/vi/RRxfbtVskd0/default.jpg</v>
      </c>
      <c r="G948" s="67"/>
      <c r="H948" s="71"/>
      <c r="I948" s="72"/>
      <c r="J948" s="72"/>
      <c r="K948" s="71" t="s">
        <v>2176</v>
      </c>
      <c r="L948" s="75"/>
      <c r="M948" s="76">
        <v>6468.30078125</v>
      </c>
      <c r="N948" s="76">
        <v>5451.263671875</v>
      </c>
      <c r="O948" s="77"/>
      <c r="P948" s="78"/>
      <c r="Q948" s="78"/>
      <c r="R948" s="82"/>
      <c r="S948" s="82"/>
      <c r="T948" s="82"/>
      <c r="U948" s="82"/>
      <c r="V948" s="52"/>
      <c r="W948" s="52"/>
      <c r="X948" s="52"/>
      <c r="Y948" s="52"/>
      <c r="Z948" s="51"/>
      <c r="AA948" s="73">
        <v>948</v>
      </c>
      <c r="AB948" s="73"/>
      <c r="AC948" s="74"/>
      <c r="AD948" s="80" t="s">
        <v>2176</v>
      </c>
      <c r="AE948" s="80" t="s">
        <v>3079</v>
      </c>
      <c r="AF948" s="80" t="s">
        <v>3774</v>
      </c>
      <c r="AG948" s="80" t="s">
        <v>4512</v>
      </c>
      <c r="AH948" s="80" t="s">
        <v>5501</v>
      </c>
      <c r="AI948" s="80">
        <v>80190</v>
      </c>
      <c r="AJ948" s="80">
        <v>20</v>
      </c>
      <c r="AK948" s="80">
        <v>1126</v>
      </c>
      <c r="AL948" s="80">
        <v>50</v>
      </c>
      <c r="AM948" s="80" t="s">
        <v>5614</v>
      </c>
      <c r="AN948" s="102" t="str">
        <f>HYPERLINK("https://www.youtube.com/watch?v=RRxfbtVskd0")</f>
        <v>https://www.youtube.com/watch?v=RRxfbtVskd0</v>
      </c>
      <c r="AO948" s="2"/>
      <c r="AP948" s="3"/>
      <c r="AQ948" s="3"/>
      <c r="AR948" s="3"/>
      <c r="AS948" s="3"/>
    </row>
    <row r="949" spans="1:45" ht="15">
      <c r="A949" s="66" t="s">
        <v>1124</v>
      </c>
      <c r="B949" s="67"/>
      <c r="C949" s="67"/>
      <c r="D949" s="68"/>
      <c r="E949" s="70"/>
      <c r="F949" s="100" t="str">
        <f>HYPERLINK("https://i.ytimg.com/vi/cvdb09zBjCQ/default.jpg")</f>
        <v>https://i.ytimg.com/vi/cvdb09zBjCQ/default.jpg</v>
      </c>
      <c r="G949" s="67"/>
      <c r="H949" s="71"/>
      <c r="I949" s="72"/>
      <c r="J949" s="72"/>
      <c r="K949" s="71" t="s">
        <v>2177</v>
      </c>
      <c r="L949" s="75"/>
      <c r="M949" s="76">
        <v>6613.68017578125</v>
      </c>
      <c r="N949" s="76">
        <v>5233.7109375</v>
      </c>
      <c r="O949" s="77"/>
      <c r="P949" s="78"/>
      <c r="Q949" s="78"/>
      <c r="R949" s="82"/>
      <c r="S949" s="82"/>
      <c r="T949" s="82"/>
      <c r="U949" s="82"/>
      <c r="V949" s="52"/>
      <c r="W949" s="52"/>
      <c r="X949" s="52"/>
      <c r="Y949" s="52"/>
      <c r="Z949" s="51"/>
      <c r="AA949" s="73">
        <v>949</v>
      </c>
      <c r="AB949" s="73"/>
      <c r="AC949" s="74"/>
      <c r="AD949" s="80" t="s">
        <v>2177</v>
      </c>
      <c r="AE949" s="80" t="s">
        <v>3080</v>
      </c>
      <c r="AF949" s="80" t="s">
        <v>3775</v>
      </c>
      <c r="AG949" s="80" t="s">
        <v>4054</v>
      </c>
      <c r="AH949" s="80" t="s">
        <v>5502</v>
      </c>
      <c r="AI949" s="80">
        <v>925</v>
      </c>
      <c r="AJ949" s="80">
        <v>44</v>
      </c>
      <c r="AK949" s="80">
        <v>95</v>
      </c>
      <c r="AL949" s="80">
        <v>0</v>
      </c>
      <c r="AM949" s="80" t="s">
        <v>5614</v>
      </c>
      <c r="AN949" s="102" t="str">
        <f>HYPERLINK("https://www.youtube.com/watch?v=cvdb09zBjCQ")</f>
        <v>https://www.youtube.com/watch?v=cvdb09zBjCQ</v>
      </c>
      <c r="AO949" s="2"/>
      <c r="AP949" s="3"/>
      <c r="AQ949" s="3"/>
      <c r="AR949" s="3"/>
      <c r="AS949" s="3"/>
    </row>
    <row r="950" spans="1:45" ht="15">
      <c r="A950" s="66" t="s">
        <v>1125</v>
      </c>
      <c r="B950" s="67"/>
      <c r="C950" s="67"/>
      <c r="D950" s="68"/>
      <c r="E950" s="70"/>
      <c r="F950" s="100" t="str">
        <f>HYPERLINK("https://i.ytimg.com/vi/yYFhPO5pArc/default.jpg")</f>
        <v>https://i.ytimg.com/vi/yYFhPO5pArc/default.jpg</v>
      </c>
      <c r="G950" s="67"/>
      <c r="H950" s="71"/>
      <c r="I950" s="72"/>
      <c r="J950" s="72"/>
      <c r="K950" s="71" t="s">
        <v>2178</v>
      </c>
      <c r="L950" s="75"/>
      <c r="M950" s="76">
        <v>6660.25927734375</v>
      </c>
      <c r="N950" s="76">
        <v>5319.185546875</v>
      </c>
      <c r="O950" s="77"/>
      <c r="P950" s="78"/>
      <c r="Q950" s="78"/>
      <c r="R950" s="82"/>
      <c r="S950" s="82"/>
      <c r="T950" s="82"/>
      <c r="U950" s="82"/>
      <c r="V950" s="52"/>
      <c r="W950" s="52"/>
      <c r="X950" s="52"/>
      <c r="Y950" s="52"/>
      <c r="Z950" s="51"/>
      <c r="AA950" s="73">
        <v>950</v>
      </c>
      <c r="AB950" s="73"/>
      <c r="AC950" s="74"/>
      <c r="AD950" s="80" t="s">
        <v>2178</v>
      </c>
      <c r="AE950" s="80" t="s">
        <v>3081</v>
      </c>
      <c r="AF950" s="80" t="s">
        <v>3776</v>
      </c>
      <c r="AG950" s="80" t="s">
        <v>4513</v>
      </c>
      <c r="AH950" s="80" t="s">
        <v>5503</v>
      </c>
      <c r="AI950" s="80">
        <v>219861</v>
      </c>
      <c r="AJ950" s="80">
        <v>115</v>
      </c>
      <c r="AK950" s="80">
        <v>9496</v>
      </c>
      <c r="AL950" s="80">
        <v>91</v>
      </c>
      <c r="AM950" s="80" t="s">
        <v>5614</v>
      </c>
      <c r="AN950" s="102" t="str">
        <f>HYPERLINK("https://www.youtube.com/watch?v=yYFhPO5pArc")</f>
        <v>https://www.youtube.com/watch?v=yYFhPO5pArc</v>
      </c>
      <c r="AO950" s="2"/>
      <c r="AP950" s="3"/>
      <c r="AQ950" s="3"/>
      <c r="AR950" s="3"/>
      <c r="AS950" s="3"/>
    </row>
    <row r="951" spans="1:45" ht="15">
      <c r="A951" s="66" t="s">
        <v>1126</v>
      </c>
      <c r="B951" s="67"/>
      <c r="C951" s="67"/>
      <c r="D951" s="68"/>
      <c r="E951" s="70"/>
      <c r="F951" s="100" t="str">
        <f>HYPERLINK("https://i.ytimg.com/vi/iDxETGfE9Zc/default.jpg")</f>
        <v>https://i.ytimg.com/vi/iDxETGfE9Zc/default.jpg</v>
      </c>
      <c r="G951" s="67"/>
      <c r="H951" s="71"/>
      <c r="I951" s="72"/>
      <c r="J951" s="72"/>
      <c r="K951" s="71" t="s">
        <v>2179</v>
      </c>
      <c r="L951" s="75"/>
      <c r="M951" s="76">
        <v>6714.48876953125</v>
      </c>
      <c r="N951" s="76">
        <v>5280.109375</v>
      </c>
      <c r="O951" s="77"/>
      <c r="P951" s="78"/>
      <c r="Q951" s="78"/>
      <c r="R951" s="82"/>
      <c r="S951" s="82"/>
      <c r="T951" s="82"/>
      <c r="U951" s="82"/>
      <c r="V951" s="52"/>
      <c r="W951" s="52"/>
      <c r="X951" s="52"/>
      <c r="Y951" s="52"/>
      <c r="Z951" s="51"/>
      <c r="AA951" s="73">
        <v>951</v>
      </c>
      <c r="AB951" s="73"/>
      <c r="AC951" s="74"/>
      <c r="AD951" s="80" t="s">
        <v>2179</v>
      </c>
      <c r="AE951" s="80" t="s">
        <v>3082</v>
      </c>
      <c r="AF951" s="80" t="s">
        <v>3777</v>
      </c>
      <c r="AG951" s="80" t="s">
        <v>4514</v>
      </c>
      <c r="AH951" s="80" t="s">
        <v>5504</v>
      </c>
      <c r="AI951" s="80">
        <v>2513</v>
      </c>
      <c r="AJ951" s="80">
        <v>11</v>
      </c>
      <c r="AK951" s="80">
        <v>146</v>
      </c>
      <c r="AL951" s="80">
        <v>0</v>
      </c>
      <c r="AM951" s="80" t="s">
        <v>5614</v>
      </c>
      <c r="AN951" s="102" t="str">
        <f>HYPERLINK("https://www.youtube.com/watch?v=iDxETGfE9Zc")</f>
        <v>https://www.youtube.com/watch?v=iDxETGfE9Zc</v>
      </c>
      <c r="AO951" s="2"/>
      <c r="AP951" s="3"/>
      <c r="AQ951" s="3"/>
      <c r="AR951" s="3"/>
      <c r="AS951" s="3"/>
    </row>
    <row r="952" spans="1:45" ht="15">
      <c r="A952" s="66" t="s">
        <v>1127</v>
      </c>
      <c r="B952" s="67"/>
      <c r="C952" s="67"/>
      <c r="D952" s="68"/>
      <c r="E952" s="70"/>
      <c r="F952" s="100" t="str">
        <f>HYPERLINK("https://i.ytimg.com/vi/F41RYgmIAwc/default.jpg")</f>
        <v>https://i.ytimg.com/vi/F41RYgmIAwc/default.jpg</v>
      </c>
      <c r="G952" s="67"/>
      <c r="H952" s="71"/>
      <c r="I952" s="72"/>
      <c r="J952" s="72"/>
      <c r="K952" s="71" t="s">
        <v>2180</v>
      </c>
      <c r="L952" s="75"/>
      <c r="M952" s="76">
        <v>7201.21435546875</v>
      </c>
      <c r="N952" s="76">
        <v>3538.296630859375</v>
      </c>
      <c r="O952" s="77"/>
      <c r="P952" s="78"/>
      <c r="Q952" s="78"/>
      <c r="R952" s="82"/>
      <c r="S952" s="82"/>
      <c r="T952" s="82"/>
      <c r="U952" s="82"/>
      <c r="V952" s="52"/>
      <c r="W952" s="52"/>
      <c r="X952" s="52"/>
      <c r="Y952" s="52"/>
      <c r="Z952" s="51"/>
      <c r="AA952" s="73">
        <v>952</v>
      </c>
      <c r="AB952" s="73"/>
      <c r="AC952" s="74"/>
      <c r="AD952" s="80" t="s">
        <v>2180</v>
      </c>
      <c r="AE952" s="80" t="s">
        <v>3083</v>
      </c>
      <c r="AF952" s="80"/>
      <c r="AG952" s="80" t="s">
        <v>4515</v>
      </c>
      <c r="AH952" s="80" t="s">
        <v>5505</v>
      </c>
      <c r="AI952" s="80">
        <v>33677</v>
      </c>
      <c r="AJ952" s="80">
        <v>149</v>
      </c>
      <c r="AK952" s="80">
        <v>1932</v>
      </c>
      <c r="AL952" s="80">
        <v>17</v>
      </c>
      <c r="AM952" s="80" t="s">
        <v>5614</v>
      </c>
      <c r="AN952" s="102" t="str">
        <f>HYPERLINK("https://www.youtube.com/watch?v=F41RYgmIAwc")</f>
        <v>https://www.youtube.com/watch?v=F41RYgmIAwc</v>
      </c>
      <c r="AO952" s="2"/>
      <c r="AP952" s="3"/>
      <c r="AQ952" s="3"/>
      <c r="AR952" s="3"/>
      <c r="AS952" s="3"/>
    </row>
    <row r="953" spans="1:45" ht="15">
      <c r="A953" s="66" t="s">
        <v>1128</v>
      </c>
      <c r="B953" s="67"/>
      <c r="C953" s="67"/>
      <c r="D953" s="68"/>
      <c r="E953" s="70"/>
      <c r="F953" s="100" t="str">
        <f>HYPERLINK("https://i.ytimg.com/vi/bAayuiGc3LE/default.jpg")</f>
        <v>https://i.ytimg.com/vi/bAayuiGc3LE/default.jpg</v>
      </c>
      <c r="G953" s="67"/>
      <c r="H953" s="71"/>
      <c r="I953" s="72"/>
      <c r="J953" s="72"/>
      <c r="K953" s="71" t="s">
        <v>2181</v>
      </c>
      <c r="L953" s="75"/>
      <c r="M953" s="76">
        <v>7036.88134765625</v>
      </c>
      <c r="N953" s="76">
        <v>5229.0361328125</v>
      </c>
      <c r="O953" s="77"/>
      <c r="P953" s="78"/>
      <c r="Q953" s="78"/>
      <c r="R953" s="82"/>
      <c r="S953" s="82"/>
      <c r="T953" s="82"/>
      <c r="U953" s="82"/>
      <c r="V953" s="52"/>
      <c r="W953" s="52"/>
      <c r="X953" s="52"/>
      <c r="Y953" s="52"/>
      <c r="Z953" s="51"/>
      <c r="AA953" s="73">
        <v>953</v>
      </c>
      <c r="AB953" s="73"/>
      <c r="AC953" s="74"/>
      <c r="AD953" s="80" t="s">
        <v>2181</v>
      </c>
      <c r="AE953" s="80" t="s">
        <v>3084</v>
      </c>
      <c r="AF953" s="80" t="s">
        <v>3778</v>
      </c>
      <c r="AG953" s="80" t="s">
        <v>4516</v>
      </c>
      <c r="AH953" s="80" t="s">
        <v>5506</v>
      </c>
      <c r="AI953" s="80">
        <v>2376901</v>
      </c>
      <c r="AJ953" s="80">
        <v>637</v>
      </c>
      <c r="AK953" s="80">
        <v>29671</v>
      </c>
      <c r="AL953" s="80">
        <v>1638</v>
      </c>
      <c r="AM953" s="80" t="s">
        <v>5614</v>
      </c>
      <c r="AN953" s="102" t="str">
        <f>HYPERLINK("https://www.youtube.com/watch?v=bAayuiGc3LE")</f>
        <v>https://www.youtube.com/watch?v=bAayuiGc3LE</v>
      </c>
      <c r="AO953" s="2"/>
      <c r="AP953" s="3"/>
      <c r="AQ953" s="3"/>
      <c r="AR953" s="3"/>
      <c r="AS953" s="3"/>
    </row>
    <row r="954" spans="1:45" ht="15">
      <c r="A954" s="66" t="s">
        <v>1129</v>
      </c>
      <c r="B954" s="67"/>
      <c r="C954" s="67"/>
      <c r="D954" s="68"/>
      <c r="E954" s="70"/>
      <c r="F954" s="100" t="str">
        <f>HYPERLINK("https://i.ytimg.com/vi/QLk4qzVmQfg/default.jpg")</f>
        <v>https://i.ytimg.com/vi/QLk4qzVmQfg/default.jpg</v>
      </c>
      <c r="G954" s="67"/>
      <c r="H954" s="71"/>
      <c r="I954" s="72"/>
      <c r="J954" s="72"/>
      <c r="K954" s="71" t="s">
        <v>2182</v>
      </c>
      <c r="L954" s="75"/>
      <c r="M954" s="76">
        <v>5093.53857421875</v>
      </c>
      <c r="N954" s="76">
        <v>5250.3369140625</v>
      </c>
      <c r="O954" s="77"/>
      <c r="P954" s="78"/>
      <c r="Q954" s="78"/>
      <c r="R954" s="82"/>
      <c r="S954" s="82"/>
      <c r="T954" s="82"/>
      <c r="U954" s="82"/>
      <c r="V954" s="52"/>
      <c r="W954" s="52"/>
      <c r="X954" s="52"/>
      <c r="Y954" s="52"/>
      <c r="Z954" s="51"/>
      <c r="AA954" s="73">
        <v>954</v>
      </c>
      <c r="AB954" s="73"/>
      <c r="AC954" s="74"/>
      <c r="AD954" s="80" t="s">
        <v>2182</v>
      </c>
      <c r="AE954" s="80" t="s">
        <v>3085</v>
      </c>
      <c r="AF954" s="80"/>
      <c r="AG954" s="80" t="s">
        <v>4517</v>
      </c>
      <c r="AH954" s="80" t="s">
        <v>5507</v>
      </c>
      <c r="AI954" s="80">
        <v>2915</v>
      </c>
      <c r="AJ954" s="80">
        <v>0</v>
      </c>
      <c r="AK954" s="80">
        <v>30</v>
      </c>
      <c r="AL954" s="80">
        <v>4</v>
      </c>
      <c r="AM954" s="80" t="s">
        <v>5614</v>
      </c>
      <c r="AN954" s="102" t="str">
        <f>HYPERLINK("https://www.youtube.com/watch?v=QLk4qzVmQfg")</f>
        <v>https://www.youtube.com/watch?v=QLk4qzVmQfg</v>
      </c>
      <c r="AO954" s="2"/>
      <c r="AP954" s="3"/>
      <c r="AQ954" s="3"/>
      <c r="AR954" s="3"/>
      <c r="AS954" s="3"/>
    </row>
    <row r="955" spans="1:45" ht="15">
      <c r="A955" s="66" t="s">
        <v>1130</v>
      </c>
      <c r="B955" s="67"/>
      <c r="C955" s="67"/>
      <c r="D955" s="68"/>
      <c r="E955" s="70"/>
      <c r="F955" s="100" t="str">
        <f>HYPERLINK("https://i.ytimg.com/vi/DOPIcum8k1o/default.jpg")</f>
        <v>https://i.ytimg.com/vi/DOPIcum8k1o/default.jpg</v>
      </c>
      <c r="G955" s="67"/>
      <c r="H955" s="71"/>
      <c r="I955" s="72"/>
      <c r="J955" s="72"/>
      <c r="K955" s="71" t="s">
        <v>2183</v>
      </c>
      <c r="L955" s="75"/>
      <c r="M955" s="76">
        <v>5425.8779296875</v>
      </c>
      <c r="N955" s="76">
        <v>5510.9296875</v>
      </c>
      <c r="O955" s="77"/>
      <c r="P955" s="78"/>
      <c r="Q955" s="78"/>
      <c r="R955" s="82"/>
      <c r="S955" s="82"/>
      <c r="T955" s="82"/>
      <c r="U955" s="82"/>
      <c r="V955" s="52"/>
      <c r="W955" s="52"/>
      <c r="X955" s="52"/>
      <c r="Y955" s="52"/>
      <c r="Z955" s="51"/>
      <c r="AA955" s="73">
        <v>955</v>
      </c>
      <c r="AB955" s="73"/>
      <c r="AC955" s="74"/>
      <c r="AD955" s="80" t="s">
        <v>2183</v>
      </c>
      <c r="AE955" s="80" t="s">
        <v>3086</v>
      </c>
      <c r="AF955" s="80"/>
      <c r="AG955" s="80" t="s">
        <v>3903</v>
      </c>
      <c r="AH955" s="80" t="s">
        <v>5508</v>
      </c>
      <c r="AI955" s="80">
        <v>96</v>
      </c>
      <c r="AJ955" s="80">
        <v>0</v>
      </c>
      <c r="AK955" s="80">
        <v>2</v>
      </c>
      <c r="AL955" s="80">
        <v>1</v>
      </c>
      <c r="AM955" s="80" t="s">
        <v>5614</v>
      </c>
      <c r="AN955" s="102" t="str">
        <f>HYPERLINK("https://www.youtube.com/watch?v=DOPIcum8k1o")</f>
        <v>https://www.youtube.com/watch?v=DOPIcum8k1o</v>
      </c>
      <c r="AO955" s="2"/>
      <c r="AP955" s="3"/>
      <c r="AQ955" s="3"/>
      <c r="AR955" s="3"/>
      <c r="AS955" s="3"/>
    </row>
    <row r="956" spans="1:45" ht="15">
      <c r="A956" s="66" t="s">
        <v>1131</v>
      </c>
      <c r="B956" s="67"/>
      <c r="C956" s="67"/>
      <c r="D956" s="68"/>
      <c r="E956" s="70"/>
      <c r="F956" s="100" t="str">
        <f>HYPERLINK("https://i.ytimg.com/vi/4mHolCm9ZtE/default.jpg")</f>
        <v>https://i.ytimg.com/vi/4mHolCm9ZtE/default.jpg</v>
      </c>
      <c r="G956" s="67"/>
      <c r="H956" s="71"/>
      <c r="I956" s="72"/>
      <c r="J956" s="72"/>
      <c r="K956" s="71" t="s">
        <v>2184</v>
      </c>
      <c r="L956" s="75"/>
      <c r="M956" s="76">
        <v>5004.5283203125</v>
      </c>
      <c r="N956" s="76">
        <v>5520.5087890625</v>
      </c>
      <c r="O956" s="77"/>
      <c r="P956" s="78"/>
      <c r="Q956" s="78"/>
      <c r="R956" s="82"/>
      <c r="S956" s="82"/>
      <c r="T956" s="82"/>
      <c r="U956" s="82"/>
      <c r="V956" s="52"/>
      <c r="W956" s="52"/>
      <c r="X956" s="52"/>
      <c r="Y956" s="52"/>
      <c r="Z956" s="51"/>
      <c r="AA956" s="73">
        <v>956</v>
      </c>
      <c r="AB956" s="73"/>
      <c r="AC956" s="74"/>
      <c r="AD956" s="80" t="s">
        <v>2184</v>
      </c>
      <c r="AE956" s="80" t="s">
        <v>3087</v>
      </c>
      <c r="AF956" s="80" t="s">
        <v>3779</v>
      </c>
      <c r="AG956" s="80" t="s">
        <v>4518</v>
      </c>
      <c r="AH956" s="80" t="s">
        <v>5509</v>
      </c>
      <c r="AI956" s="80">
        <v>652305</v>
      </c>
      <c r="AJ956" s="80">
        <v>285</v>
      </c>
      <c r="AK956" s="80">
        <v>14375</v>
      </c>
      <c r="AL956" s="80">
        <v>520</v>
      </c>
      <c r="AM956" s="80" t="s">
        <v>5614</v>
      </c>
      <c r="AN956" s="102" t="str">
        <f>HYPERLINK("https://www.youtube.com/watch?v=4mHolCm9ZtE")</f>
        <v>https://www.youtube.com/watch?v=4mHolCm9ZtE</v>
      </c>
      <c r="AO956" s="2"/>
      <c r="AP956" s="3"/>
      <c r="AQ956" s="3"/>
      <c r="AR956" s="3"/>
      <c r="AS956" s="3"/>
    </row>
    <row r="957" spans="1:45" ht="15">
      <c r="A957" s="66" t="s">
        <v>1132</v>
      </c>
      <c r="B957" s="67"/>
      <c r="C957" s="67"/>
      <c r="D957" s="68"/>
      <c r="E957" s="70"/>
      <c r="F957" s="100" t="str">
        <f>HYPERLINK("https://i.ytimg.com/vi/BuJPfB3nbOA/default.jpg")</f>
        <v>https://i.ytimg.com/vi/BuJPfB3nbOA/default.jpg</v>
      </c>
      <c r="G957" s="67"/>
      <c r="H957" s="71"/>
      <c r="I957" s="72"/>
      <c r="J957" s="72"/>
      <c r="K957" s="71" t="s">
        <v>2185</v>
      </c>
      <c r="L957" s="75"/>
      <c r="M957" s="76">
        <v>4948.734375</v>
      </c>
      <c r="N957" s="76">
        <v>5342.701171875</v>
      </c>
      <c r="O957" s="77"/>
      <c r="P957" s="78"/>
      <c r="Q957" s="78"/>
      <c r="R957" s="82"/>
      <c r="S957" s="82"/>
      <c r="T957" s="82"/>
      <c r="U957" s="82"/>
      <c r="V957" s="52"/>
      <c r="W957" s="52"/>
      <c r="X957" s="52"/>
      <c r="Y957" s="52"/>
      <c r="Z957" s="51"/>
      <c r="AA957" s="73">
        <v>957</v>
      </c>
      <c r="AB957" s="73"/>
      <c r="AC957" s="74"/>
      <c r="AD957" s="80" t="s">
        <v>2185</v>
      </c>
      <c r="AE957" s="80" t="s">
        <v>3088</v>
      </c>
      <c r="AF957" s="80" t="s">
        <v>3780</v>
      </c>
      <c r="AG957" s="80" t="s">
        <v>4519</v>
      </c>
      <c r="AH957" s="80" t="s">
        <v>5510</v>
      </c>
      <c r="AI957" s="80">
        <v>94237</v>
      </c>
      <c r="AJ957" s="80">
        <v>82</v>
      </c>
      <c r="AK957" s="80">
        <v>1827</v>
      </c>
      <c r="AL957" s="80">
        <v>65</v>
      </c>
      <c r="AM957" s="80" t="s">
        <v>5614</v>
      </c>
      <c r="AN957" s="102" t="str">
        <f>HYPERLINK("https://www.youtube.com/watch?v=BuJPfB3nbOA")</f>
        <v>https://www.youtube.com/watch?v=BuJPfB3nbOA</v>
      </c>
      <c r="AO957" s="2"/>
      <c r="AP957" s="3"/>
      <c r="AQ957" s="3"/>
      <c r="AR957" s="3"/>
      <c r="AS957" s="3"/>
    </row>
    <row r="958" spans="1:45" ht="15">
      <c r="A958" s="66" t="s">
        <v>1133</v>
      </c>
      <c r="B958" s="67"/>
      <c r="C958" s="67"/>
      <c r="D958" s="68"/>
      <c r="E958" s="70"/>
      <c r="F958" s="100" t="str">
        <f>HYPERLINK("https://i.ytimg.com/vi/aiNhSNjvB90/default.jpg")</f>
        <v>https://i.ytimg.com/vi/aiNhSNjvB90/default.jpg</v>
      </c>
      <c r="G958" s="67"/>
      <c r="H958" s="71"/>
      <c r="I958" s="72"/>
      <c r="J958" s="72"/>
      <c r="K958" s="71" t="s">
        <v>2186</v>
      </c>
      <c r="L958" s="75"/>
      <c r="M958" s="76">
        <v>5360.04443359375</v>
      </c>
      <c r="N958" s="76">
        <v>5373.08251953125</v>
      </c>
      <c r="O958" s="77"/>
      <c r="P958" s="78"/>
      <c r="Q958" s="78"/>
      <c r="R958" s="82"/>
      <c r="S958" s="82"/>
      <c r="T958" s="82"/>
      <c r="U958" s="82"/>
      <c r="V958" s="52"/>
      <c r="W958" s="52"/>
      <c r="X958" s="52"/>
      <c r="Y958" s="52"/>
      <c r="Z958" s="51"/>
      <c r="AA958" s="73">
        <v>958</v>
      </c>
      <c r="AB958" s="73"/>
      <c r="AC958" s="74"/>
      <c r="AD958" s="80" t="s">
        <v>2186</v>
      </c>
      <c r="AE958" s="80" t="s">
        <v>3089</v>
      </c>
      <c r="AF958" s="80"/>
      <c r="AG958" s="80" t="s">
        <v>3903</v>
      </c>
      <c r="AH958" s="80" t="s">
        <v>5511</v>
      </c>
      <c r="AI958" s="80">
        <v>42</v>
      </c>
      <c r="AJ958" s="80">
        <v>0</v>
      </c>
      <c r="AK958" s="80">
        <v>3</v>
      </c>
      <c r="AL958" s="80">
        <v>0</v>
      </c>
      <c r="AM958" s="80" t="s">
        <v>5614</v>
      </c>
      <c r="AN958" s="102" t="str">
        <f>HYPERLINK("https://www.youtube.com/watch?v=aiNhSNjvB90")</f>
        <v>https://www.youtube.com/watch?v=aiNhSNjvB90</v>
      </c>
      <c r="AO958" s="2"/>
      <c r="AP958" s="3"/>
      <c r="AQ958" s="3"/>
      <c r="AR958" s="3"/>
      <c r="AS958" s="3"/>
    </row>
    <row r="959" spans="1:45" ht="15">
      <c r="A959" s="66" t="s">
        <v>1134</v>
      </c>
      <c r="B959" s="67"/>
      <c r="C959" s="67"/>
      <c r="D959" s="68"/>
      <c r="E959" s="70"/>
      <c r="F959" s="100" t="str">
        <f>HYPERLINK("https://i.ytimg.com/vi/z42-xgvrTT8/default.jpg")</f>
        <v>https://i.ytimg.com/vi/z42-xgvrTT8/default.jpg</v>
      </c>
      <c r="G959" s="67"/>
      <c r="H959" s="71"/>
      <c r="I959" s="72"/>
      <c r="J959" s="72"/>
      <c r="K959" s="71" t="s">
        <v>2187</v>
      </c>
      <c r="L959" s="75"/>
      <c r="M959" s="76">
        <v>4082.86865234375</v>
      </c>
      <c r="N959" s="76">
        <v>4431.54345703125</v>
      </c>
      <c r="O959" s="77"/>
      <c r="P959" s="78"/>
      <c r="Q959" s="78"/>
      <c r="R959" s="82"/>
      <c r="S959" s="82"/>
      <c r="T959" s="82"/>
      <c r="U959" s="82"/>
      <c r="V959" s="52"/>
      <c r="W959" s="52"/>
      <c r="X959" s="52"/>
      <c r="Y959" s="52"/>
      <c r="Z959" s="51"/>
      <c r="AA959" s="73">
        <v>959</v>
      </c>
      <c r="AB959" s="73"/>
      <c r="AC959" s="74"/>
      <c r="AD959" s="80" t="s">
        <v>2187</v>
      </c>
      <c r="AE959" s="80" t="s">
        <v>3090</v>
      </c>
      <c r="AF959" s="80"/>
      <c r="AG959" s="80" t="s">
        <v>4520</v>
      </c>
      <c r="AH959" s="80" t="s">
        <v>5512</v>
      </c>
      <c r="AI959" s="80">
        <v>1427</v>
      </c>
      <c r="AJ959" s="80">
        <v>2</v>
      </c>
      <c r="AK959" s="80">
        <v>52</v>
      </c>
      <c r="AL959" s="80">
        <v>0</v>
      </c>
      <c r="AM959" s="80" t="s">
        <v>5614</v>
      </c>
      <c r="AN959" s="102" t="str">
        <f>HYPERLINK("https://www.youtube.com/watch?v=z42-xgvrTT8")</f>
        <v>https://www.youtube.com/watch?v=z42-xgvrTT8</v>
      </c>
      <c r="AO959" s="2"/>
      <c r="AP959" s="3"/>
      <c r="AQ959" s="3"/>
      <c r="AR959" s="3"/>
      <c r="AS959" s="3"/>
    </row>
    <row r="960" spans="1:45" ht="15">
      <c r="A960" s="66" t="s">
        <v>1135</v>
      </c>
      <c r="B960" s="67"/>
      <c r="C960" s="67"/>
      <c r="D960" s="68"/>
      <c r="E960" s="70"/>
      <c r="F960" s="100" t="str">
        <f>HYPERLINK("https://i.ytimg.com/vi/sfKvvJuHnKs/default.jpg")</f>
        <v>https://i.ytimg.com/vi/sfKvvJuHnKs/default.jpg</v>
      </c>
      <c r="G960" s="67"/>
      <c r="H960" s="71"/>
      <c r="I960" s="72"/>
      <c r="J960" s="72"/>
      <c r="K960" s="71" t="s">
        <v>2188</v>
      </c>
      <c r="L960" s="75"/>
      <c r="M960" s="76">
        <v>4696.990234375</v>
      </c>
      <c r="N960" s="76">
        <v>5139.52978515625</v>
      </c>
      <c r="O960" s="77"/>
      <c r="P960" s="78"/>
      <c r="Q960" s="78"/>
      <c r="R960" s="82"/>
      <c r="S960" s="82"/>
      <c r="T960" s="82"/>
      <c r="U960" s="82"/>
      <c r="V960" s="52"/>
      <c r="W960" s="52"/>
      <c r="X960" s="52"/>
      <c r="Y960" s="52"/>
      <c r="Z960" s="51"/>
      <c r="AA960" s="73">
        <v>960</v>
      </c>
      <c r="AB960" s="73"/>
      <c r="AC960" s="74"/>
      <c r="AD960" s="80" t="s">
        <v>2188</v>
      </c>
      <c r="AE960" s="80" t="s">
        <v>3091</v>
      </c>
      <c r="AF960" s="80" t="s">
        <v>3781</v>
      </c>
      <c r="AG960" s="80" t="s">
        <v>4521</v>
      </c>
      <c r="AH960" s="80" t="s">
        <v>5513</v>
      </c>
      <c r="AI960" s="80">
        <v>187564</v>
      </c>
      <c r="AJ960" s="80">
        <v>229</v>
      </c>
      <c r="AK960" s="80">
        <v>6181</v>
      </c>
      <c r="AL960" s="80">
        <v>318</v>
      </c>
      <c r="AM960" s="80" t="s">
        <v>5614</v>
      </c>
      <c r="AN960" s="102" t="str">
        <f>HYPERLINK("https://www.youtube.com/watch?v=sfKvvJuHnKs")</f>
        <v>https://www.youtube.com/watch?v=sfKvvJuHnKs</v>
      </c>
      <c r="AO960" s="2"/>
      <c r="AP960" s="3"/>
      <c r="AQ960" s="3"/>
      <c r="AR960" s="3"/>
      <c r="AS960" s="3"/>
    </row>
    <row r="961" spans="1:45" ht="15">
      <c r="A961" s="66" t="s">
        <v>1136</v>
      </c>
      <c r="B961" s="67"/>
      <c r="C961" s="67"/>
      <c r="D961" s="68"/>
      <c r="E961" s="70"/>
      <c r="F961" s="100" t="str">
        <f>HYPERLINK("https://i.ytimg.com/vi/QXe-59uoibU/default.jpg")</f>
        <v>https://i.ytimg.com/vi/QXe-59uoibU/default.jpg</v>
      </c>
      <c r="G961" s="67"/>
      <c r="H961" s="71"/>
      <c r="I961" s="72"/>
      <c r="J961" s="72"/>
      <c r="K961" s="71" t="s">
        <v>2189</v>
      </c>
      <c r="L961" s="75"/>
      <c r="M961" s="76">
        <v>4941.14892578125</v>
      </c>
      <c r="N961" s="76">
        <v>5210.09716796875</v>
      </c>
      <c r="O961" s="77"/>
      <c r="P961" s="78"/>
      <c r="Q961" s="78"/>
      <c r="R961" s="82"/>
      <c r="S961" s="82"/>
      <c r="T961" s="82"/>
      <c r="U961" s="82"/>
      <c r="V961" s="52"/>
      <c r="W961" s="52"/>
      <c r="X961" s="52"/>
      <c r="Y961" s="52"/>
      <c r="Z961" s="51"/>
      <c r="AA961" s="73">
        <v>961</v>
      </c>
      <c r="AB961" s="73"/>
      <c r="AC961" s="74"/>
      <c r="AD961" s="80" t="s">
        <v>2189</v>
      </c>
      <c r="AE961" s="80" t="s">
        <v>3092</v>
      </c>
      <c r="AF961" s="80" t="s">
        <v>3782</v>
      </c>
      <c r="AG961" s="80" t="s">
        <v>4522</v>
      </c>
      <c r="AH961" s="80" t="s">
        <v>5514</v>
      </c>
      <c r="AI961" s="80">
        <v>654507</v>
      </c>
      <c r="AJ961" s="80">
        <v>203</v>
      </c>
      <c r="AK961" s="80">
        <v>8272</v>
      </c>
      <c r="AL961" s="80">
        <v>332</v>
      </c>
      <c r="AM961" s="80" t="s">
        <v>5614</v>
      </c>
      <c r="AN961" s="102" t="str">
        <f>HYPERLINK("https://www.youtube.com/watch?v=QXe-59uoibU")</f>
        <v>https://www.youtube.com/watch?v=QXe-59uoibU</v>
      </c>
      <c r="AO961" s="2"/>
      <c r="AP961" s="3"/>
      <c r="AQ961" s="3"/>
      <c r="AR961" s="3"/>
      <c r="AS961" s="3"/>
    </row>
    <row r="962" spans="1:45" ht="15">
      <c r="A962" s="66" t="s">
        <v>1137</v>
      </c>
      <c r="B962" s="67"/>
      <c r="C962" s="67"/>
      <c r="D962" s="68"/>
      <c r="E962" s="70"/>
      <c r="F962" s="100" t="str">
        <f>HYPERLINK("https://i.ytimg.com/vi/g-0-i59a1PQ/default.jpg")</f>
        <v>https://i.ytimg.com/vi/g-0-i59a1PQ/default.jpg</v>
      </c>
      <c r="G962" s="67"/>
      <c r="H962" s="71"/>
      <c r="I962" s="72"/>
      <c r="J962" s="72"/>
      <c r="K962" s="71" t="s">
        <v>2190</v>
      </c>
      <c r="L962" s="75"/>
      <c r="M962" s="76">
        <v>5196.236328125</v>
      </c>
      <c r="N962" s="76">
        <v>5291.14453125</v>
      </c>
      <c r="O962" s="77"/>
      <c r="P962" s="78"/>
      <c r="Q962" s="78"/>
      <c r="R962" s="82"/>
      <c r="S962" s="82"/>
      <c r="T962" s="82"/>
      <c r="U962" s="82"/>
      <c r="V962" s="52"/>
      <c r="W962" s="52"/>
      <c r="X962" s="52"/>
      <c r="Y962" s="52"/>
      <c r="Z962" s="51"/>
      <c r="AA962" s="73">
        <v>962</v>
      </c>
      <c r="AB962" s="73"/>
      <c r="AC962" s="74"/>
      <c r="AD962" s="80" t="s">
        <v>2190</v>
      </c>
      <c r="AE962" s="80" t="s">
        <v>3093</v>
      </c>
      <c r="AF962" s="80" t="s">
        <v>3783</v>
      </c>
      <c r="AG962" s="80" t="s">
        <v>4523</v>
      </c>
      <c r="AH962" s="80" t="s">
        <v>5515</v>
      </c>
      <c r="AI962" s="80">
        <v>195680</v>
      </c>
      <c r="AJ962" s="80">
        <v>440</v>
      </c>
      <c r="AK962" s="80">
        <v>9787</v>
      </c>
      <c r="AL962" s="80">
        <v>285</v>
      </c>
      <c r="AM962" s="80" t="s">
        <v>5614</v>
      </c>
      <c r="AN962" s="102" t="str">
        <f>HYPERLINK("https://www.youtube.com/watch?v=g-0-i59a1PQ")</f>
        <v>https://www.youtube.com/watch?v=g-0-i59a1PQ</v>
      </c>
      <c r="AO962" s="2"/>
      <c r="AP962" s="3"/>
      <c r="AQ962" s="3"/>
      <c r="AR962" s="3"/>
      <c r="AS962" s="3"/>
    </row>
    <row r="963" spans="1:45" ht="15">
      <c r="A963" s="66" t="s">
        <v>1138</v>
      </c>
      <c r="B963" s="67"/>
      <c r="C963" s="67"/>
      <c r="D963" s="68"/>
      <c r="E963" s="70"/>
      <c r="F963" s="100" t="str">
        <f>HYPERLINK("https://i.ytimg.com/vi/J2ir-76r37A/default.jpg")</f>
        <v>https://i.ytimg.com/vi/J2ir-76r37A/default.jpg</v>
      </c>
      <c r="G963" s="67"/>
      <c r="H963" s="71"/>
      <c r="I963" s="72"/>
      <c r="J963" s="72"/>
      <c r="K963" s="71" t="s">
        <v>2191</v>
      </c>
      <c r="L963" s="75"/>
      <c r="M963" s="76">
        <v>5542.646484375</v>
      </c>
      <c r="N963" s="76">
        <v>5398.56640625</v>
      </c>
      <c r="O963" s="77"/>
      <c r="P963" s="78"/>
      <c r="Q963" s="78"/>
      <c r="R963" s="82"/>
      <c r="S963" s="82"/>
      <c r="T963" s="82"/>
      <c r="U963" s="82"/>
      <c r="V963" s="52"/>
      <c r="W963" s="52"/>
      <c r="X963" s="52"/>
      <c r="Y963" s="52"/>
      <c r="Z963" s="51"/>
      <c r="AA963" s="73">
        <v>963</v>
      </c>
      <c r="AB963" s="73"/>
      <c r="AC963" s="74"/>
      <c r="AD963" s="80" t="s">
        <v>2191</v>
      </c>
      <c r="AE963" s="80" t="s">
        <v>3094</v>
      </c>
      <c r="AF963" s="80" t="s">
        <v>3784</v>
      </c>
      <c r="AG963" s="80" t="s">
        <v>4234</v>
      </c>
      <c r="AH963" s="80" t="s">
        <v>5516</v>
      </c>
      <c r="AI963" s="80">
        <v>1712968</v>
      </c>
      <c r="AJ963" s="80">
        <v>1491</v>
      </c>
      <c r="AK963" s="80">
        <v>28405</v>
      </c>
      <c r="AL963" s="80">
        <v>1618</v>
      </c>
      <c r="AM963" s="80" t="s">
        <v>5614</v>
      </c>
      <c r="AN963" s="102" t="str">
        <f>HYPERLINK("https://www.youtube.com/watch?v=J2ir-76r37A")</f>
        <v>https://www.youtube.com/watch?v=J2ir-76r37A</v>
      </c>
      <c r="AO963" s="2"/>
      <c r="AP963" s="3"/>
      <c r="AQ963" s="3"/>
      <c r="AR963" s="3"/>
      <c r="AS963" s="3"/>
    </row>
    <row r="964" spans="1:45" ht="15">
      <c r="A964" s="66" t="s">
        <v>1139</v>
      </c>
      <c r="B964" s="67"/>
      <c r="C964" s="67"/>
      <c r="D964" s="68"/>
      <c r="E964" s="70"/>
      <c r="F964" s="100" t="str">
        <f>HYPERLINK("https://i.ytimg.com/vi/VnKpmBrZ47g/default.jpg")</f>
        <v>https://i.ytimg.com/vi/VnKpmBrZ47g/default.jpg</v>
      </c>
      <c r="G964" s="67"/>
      <c r="H964" s="71"/>
      <c r="I964" s="72"/>
      <c r="J964" s="72"/>
      <c r="K964" s="71" t="s">
        <v>2192</v>
      </c>
      <c r="L964" s="75"/>
      <c r="M964" s="76">
        <v>4950.17529296875</v>
      </c>
      <c r="N964" s="76">
        <v>5371.177734375</v>
      </c>
      <c r="O964" s="77"/>
      <c r="P964" s="78"/>
      <c r="Q964" s="78"/>
      <c r="R964" s="82"/>
      <c r="S964" s="82"/>
      <c r="T964" s="82"/>
      <c r="U964" s="82"/>
      <c r="V964" s="52"/>
      <c r="W964" s="52"/>
      <c r="X964" s="52"/>
      <c r="Y964" s="52"/>
      <c r="Z964" s="51"/>
      <c r="AA964" s="73">
        <v>964</v>
      </c>
      <c r="AB964" s="73"/>
      <c r="AC964" s="74"/>
      <c r="AD964" s="80" t="s">
        <v>2192</v>
      </c>
      <c r="AE964" s="80" t="s">
        <v>3095</v>
      </c>
      <c r="AF964" s="80" t="s">
        <v>3785</v>
      </c>
      <c r="AG964" s="80" t="s">
        <v>4524</v>
      </c>
      <c r="AH964" s="80" t="s">
        <v>5517</v>
      </c>
      <c r="AI964" s="80">
        <v>17005</v>
      </c>
      <c r="AJ964" s="80">
        <v>15</v>
      </c>
      <c r="AK964" s="80">
        <v>351</v>
      </c>
      <c r="AL964" s="80">
        <v>12</v>
      </c>
      <c r="AM964" s="80" t="s">
        <v>5614</v>
      </c>
      <c r="AN964" s="102" t="str">
        <f>HYPERLINK("https://www.youtube.com/watch?v=VnKpmBrZ47g")</f>
        <v>https://www.youtube.com/watch?v=VnKpmBrZ47g</v>
      </c>
      <c r="AO964" s="2"/>
      <c r="AP964" s="3"/>
      <c r="AQ964" s="3"/>
      <c r="AR964" s="3"/>
      <c r="AS964" s="3"/>
    </row>
    <row r="965" spans="1:45" ht="15">
      <c r="A965" s="66" t="s">
        <v>1140</v>
      </c>
      <c r="B965" s="67"/>
      <c r="C965" s="67"/>
      <c r="D965" s="68"/>
      <c r="E965" s="70"/>
      <c r="F965" s="100" t="str">
        <f>HYPERLINK("https://i.ytimg.com/vi/8ii8VGH2yx4/default.jpg")</f>
        <v>https://i.ytimg.com/vi/8ii8VGH2yx4/default.jpg</v>
      </c>
      <c r="G965" s="67"/>
      <c r="H965" s="71"/>
      <c r="I965" s="72"/>
      <c r="J965" s="72"/>
      <c r="K965" s="71" t="s">
        <v>2193</v>
      </c>
      <c r="L965" s="75"/>
      <c r="M965" s="76">
        <v>4711.947265625</v>
      </c>
      <c r="N965" s="76">
        <v>5038.7451171875</v>
      </c>
      <c r="O965" s="77"/>
      <c r="P965" s="78"/>
      <c r="Q965" s="78"/>
      <c r="R965" s="82"/>
      <c r="S965" s="82"/>
      <c r="T965" s="82"/>
      <c r="U965" s="82"/>
      <c r="V965" s="52"/>
      <c r="W965" s="52"/>
      <c r="X965" s="52"/>
      <c r="Y965" s="52"/>
      <c r="Z965" s="51"/>
      <c r="AA965" s="73">
        <v>965</v>
      </c>
      <c r="AB965" s="73"/>
      <c r="AC965" s="74"/>
      <c r="AD965" s="80" t="s">
        <v>2193</v>
      </c>
      <c r="AE965" s="80" t="s">
        <v>3096</v>
      </c>
      <c r="AF965" s="80" t="s">
        <v>3786</v>
      </c>
      <c r="AG965" s="80" t="s">
        <v>4525</v>
      </c>
      <c r="AH965" s="80" t="s">
        <v>5518</v>
      </c>
      <c r="AI965" s="80">
        <v>21783</v>
      </c>
      <c r="AJ965" s="80">
        <v>32</v>
      </c>
      <c r="AK965" s="80">
        <v>631</v>
      </c>
      <c r="AL965" s="80">
        <v>17</v>
      </c>
      <c r="AM965" s="80" t="s">
        <v>5614</v>
      </c>
      <c r="AN965" s="102" t="str">
        <f>HYPERLINK("https://www.youtube.com/watch?v=8ii8VGH2yx4")</f>
        <v>https://www.youtube.com/watch?v=8ii8VGH2yx4</v>
      </c>
      <c r="AO965" s="2"/>
      <c r="AP965" s="3"/>
      <c r="AQ965" s="3"/>
      <c r="AR965" s="3"/>
      <c r="AS965" s="3"/>
    </row>
    <row r="966" spans="1:45" ht="15">
      <c r="A966" s="66" t="s">
        <v>1141</v>
      </c>
      <c r="B966" s="67"/>
      <c r="C966" s="67"/>
      <c r="D966" s="68"/>
      <c r="E966" s="70"/>
      <c r="F966" s="100" t="str">
        <f>HYPERLINK("https://i.ytimg.com/vi/JaMKPAoK2X0/default.jpg")</f>
        <v>https://i.ytimg.com/vi/JaMKPAoK2X0/default.jpg</v>
      </c>
      <c r="G966" s="67"/>
      <c r="H966" s="71"/>
      <c r="I966" s="72"/>
      <c r="J966" s="72"/>
      <c r="K966" s="71" t="s">
        <v>2194</v>
      </c>
      <c r="L966" s="75"/>
      <c r="M966" s="76">
        <v>4863.3212890625</v>
      </c>
      <c r="N966" s="76">
        <v>5424.3212890625</v>
      </c>
      <c r="O966" s="77"/>
      <c r="P966" s="78"/>
      <c r="Q966" s="78"/>
      <c r="R966" s="82"/>
      <c r="S966" s="82"/>
      <c r="T966" s="82"/>
      <c r="U966" s="82"/>
      <c r="V966" s="52"/>
      <c r="W966" s="52"/>
      <c r="X966" s="52"/>
      <c r="Y966" s="52"/>
      <c r="Z966" s="51"/>
      <c r="AA966" s="73">
        <v>966</v>
      </c>
      <c r="AB966" s="73"/>
      <c r="AC966" s="74"/>
      <c r="AD966" s="80" t="s">
        <v>2194</v>
      </c>
      <c r="AE966" s="80" t="s">
        <v>3097</v>
      </c>
      <c r="AF966" s="80"/>
      <c r="AG966" s="80" t="s">
        <v>4526</v>
      </c>
      <c r="AH966" s="80" t="s">
        <v>5519</v>
      </c>
      <c r="AI966" s="80">
        <v>2387</v>
      </c>
      <c r="AJ966" s="80">
        <v>2</v>
      </c>
      <c r="AK966" s="80">
        <v>56</v>
      </c>
      <c r="AL966" s="80">
        <v>1</v>
      </c>
      <c r="AM966" s="80" t="s">
        <v>5614</v>
      </c>
      <c r="AN966" s="102" t="str">
        <f>HYPERLINK("https://www.youtube.com/watch?v=JaMKPAoK2X0")</f>
        <v>https://www.youtube.com/watch?v=JaMKPAoK2X0</v>
      </c>
      <c r="AO966" s="2"/>
      <c r="AP966" s="3"/>
      <c r="AQ966" s="3"/>
      <c r="AR966" s="3"/>
      <c r="AS966" s="3"/>
    </row>
    <row r="967" spans="1:45" ht="15">
      <c r="A967" s="66" t="s">
        <v>1142</v>
      </c>
      <c r="B967" s="67"/>
      <c r="C967" s="67"/>
      <c r="D967" s="68"/>
      <c r="E967" s="70"/>
      <c r="F967" s="100" t="str">
        <f>HYPERLINK("https://i.ytimg.com/vi/yGFHlFww3gE/default.jpg")</f>
        <v>https://i.ytimg.com/vi/yGFHlFww3gE/default.jpg</v>
      </c>
      <c r="G967" s="67"/>
      <c r="H967" s="71"/>
      <c r="I967" s="72"/>
      <c r="J967" s="72"/>
      <c r="K967" s="71" t="s">
        <v>2195</v>
      </c>
      <c r="L967" s="75"/>
      <c r="M967" s="76">
        <v>4832.0263671875</v>
      </c>
      <c r="N967" s="76">
        <v>5110.87744140625</v>
      </c>
      <c r="O967" s="77"/>
      <c r="P967" s="78"/>
      <c r="Q967" s="78"/>
      <c r="R967" s="82"/>
      <c r="S967" s="82"/>
      <c r="T967" s="82"/>
      <c r="U967" s="82"/>
      <c r="V967" s="52"/>
      <c r="W967" s="52"/>
      <c r="X967" s="52"/>
      <c r="Y967" s="52"/>
      <c r="Z967" s="51"/>
      <c r="AA967" s="73">
        <v>967</v>
      </c>
      <c r="AB967" s="73"/>
      <c r="AC967" s="74"/>
      <c r="AD967" s="80" t="s">
        <v>2195</v>
      </c>
      <c r="AE967" s="80" t="s">
        <v>3098</v>
      </c>
      <c r="AF967" s="80" t="s">
        <v>3787</v>
      </c>
      <c r="AG967" s="80" t="s">
        <v>4527</v>
      </c>
      <c r="AH967" s="80" t="s">
        <v>5520</v>
      </c>
      <c r="AI967" s="80">
        <v>15428</v>
      </c>
      <c r="AJ967" s="80">
        <v>20</v>
      </c>
      <c r="AK967" s="80">
        <v>325</v>
      </c>
      <c r="AL967" s="80">
        <v>8</v>
      </c>
      <c r="AM967" s="80" t="s">
        <v>5614</v>
      </c>
      <c r="AN967" s="102" t="str">
        <f>HYPERLINK("https://www.youtube.com/watch?v=yGFHlFww3gE")</f>
        <v>https://www.youtube.com/watch?v=yGFHlFww3gE</v>
      </c>
      <c r="AO967" s="2"/>
      <c r="AP967" s="3"/>
      <c r="AQ967" s="3"/>
      <c r="AR967" s="3"/>
      <c r="AS967" s="3"/>
    </row>
    <row r="968" spans="1:45" ht="15">
      <c r="A968" s="66" t="s">
        <v>1143</v>
      </c>
      <c r="B968" s="67"/>
      <c r="C968" s="67"/>
      <c r="D968" s="68"/>
      <c r="E968" s="70"/>
      <c r="F968" s="100" t="str">
        <f>HYPERLINK("https://i.ytimg.com/vi/MtXLnZjNKe8/default.jpg")</f>
        <v>https://i.ytimg.com/vi/MtXLnZjNKe8/default.jpg</v>
      </c>
      <c r="G968" s="67"/>
      <c r="H968" s="71"/>
      <c r="I968" s="72"/>
      <c r="J968" s="72"/>
      <c r="K968" s="71" t="s">
        <v>2196</v>
      </c>
      <c r="L968" s="75"/>
      <c r="M968" s="76">
        <v>4671.541015625</v>
      </c>
      <c r="N968" s="76">
        <v>5269.42578125</v>
      </c>
      <c r="O968" s="77"/>
      <c r="P968" s="78"/>
      <c r="Q968" s="78"/>
      <c r="R968" s="82"/>
      <c r="S968" s="82"/>
      <c r="T968" s="82"/>
      <c r="U968" s="82"/>
      <c r="V968" s="52"/>
      <c r="W968" s="52"/>
      <c r="X968" s="52"/>
      <c r="Y968" s="52"/>
      <c r="Z968" s="51"/>
      <c r="AA968" s="73">
        <v>968</v>
      </c>
      <c r="AB968" s="73"/>
      <c r="AC968" s="74"/>
      <c r="AD968" s="80" t="s">
        <v>2196</v>
      </c>
      <c r="AE968" s="80" t="s">
        <v>3099</v>
      </c>
      <c r="AF968" s="80"/>
      <c r="AG968" s="80" t="s">
        <v>4528</v>
      </c>
      <c r="AH968" s="80" t="s">
        <v>5521</v>
      </c>
      <c r="AI968" s="80">
        <v>215</v>
      </c>
      <c r="AJ968" s="80">
        <v>0</v>
      </c>
      <c r="AK968" s="80">
        <v>24</v>
      </c>
      <c r="AL968" s="80">
        <v>0</v>
      </c>
      <c r="AM968" s="80" t="s">
        <v>5614</v>
      </c>
      <c r="AN968" s="102" t="str">
        <f>HYPERLINK("https://www.youtube.com/watch?v=MtXLnZjNKe8")</f>
        <v>https://www.youtube.com/watch?v=MtXLnZjNKe8</v>
      </c>
      <c r="AO968" s="2"/>
      <c r="AP968" s="3"/>
      <c r="AQ968" s="3"/>
      <c r="AR968" s="3"/>
      <c r="AS968" s="3"/>
    </row>
    <row r="969" spans="1:45" ht="15">
      <c r="A969" s="66" t="s">
        <v>1144</v>
      </c>
      <c r="B969" s="67"/>
      <c r="C969" s="67"/>
      <c r="D969" s="68"/>
      <c r="E969" s="70"/>
      <c r="F969" s="100" t="str">
        <f>HYPERLINK("https://i.ytimg.com/vi/lHYWB8NQhTg/default.jpg")</f>
        <v>https://i.ytimg.com/vi/lHYWB8NQhTg/default.jpg</v>
      </c>
      <c r="G969" s="67"/>
      <c r="H969" s="71"/>
      <c r="I969" s="72"/>
      <c r="J969" s="72"/>
      <c r="K969" s="71" t="s">
        <v>2197</v>
      </c>
      <c r="L969" s="75"/>
      <c r="M969" s="76">
        <v>5291.6435546875</v>
      </c>
      <c r="N969" s="76">
        <v>5601.732421875</v>
      </c>
      <c r="O969" s="77"/>
      <c r="P969" s="78"/>
      <c r="Q969" s="78"/>
      <c r="R969" s="82"/>
      <c r="S969" s="82"/>
      <c r="T969" s="82"/>
      <c r="U969" s="82"/>
      <c r="V969" s="52"/>
      <c r="W969" s="52"/>
      <c r="X969" s="52"/>
      <c r="Y969" s="52"/>
      <c r="Z969" s="51"/>
      <c r="AA969" s="73">
        <v>969</v>
      </c>
      <c r="AB969" s="73"/>
      <c r="AC969" s="74"/>
      <c r="AD969" s="80" t="s">
        <v>2197</v>
      </c>
      <c r="AE969" s="80" t="s">
        <v>3100</v>
      </c>
      <c r="AF969" s="80" t="s">
        <v>3788</v>
      </c>
      <c r="AG969" s="80" t="s">
        <v>4529</v>
      </c>
      <c r="AH969" s="80" t="s">
        <v>5522</v>
      </c>
      <c r="AI969" s="80">
        <v>45067</v>
      </c>
      <c r="AJ969" s="80">
        <v>21</v>
      </c>
      <c r="AK969" s="80">
        <v>872</v>
      </c>
      <c r="AL969" s="80">
        <v>25</v>
      </c>
      <c r="AM969" s="80" t="s">
        <v>5614</v>
      </c>
      <c r="AN969" s="102" t="str">
        <f>HYPERLINK("https://www.youtube.com/watch?v=lHYWB8NQhTg")</f>
        <v>https://www.youtube.com/watch?v=lHYWB8NQhTg</v>
      </c>
      <c r="AO969" s="2"/>
      <c r="AP969" s="3"/>
      <c r="AQ969" s="3"/>
      <c r="AR969" s="3"/>
      <c r="AS969" s="3"/>
    </row>
    <row r="970" spans="1:45" ht="15">
      <c r="A970" s="66" t="s">
        <v>1145</v>
      </c>
      <c r="B970" s="67"/>
      <c r="C970" s="67"/>
      <c r="D970" s="68"/>
      <c r="E970" s="70"/>
      <c r="F970" s="100" t="str">
        <f>HYPERLINK("https://i.ytimg.com/vi/wVBLmvi7xMQ/default.jpg")</f>
        <v>https://i.ytimg.com/vi/wVBLmvi7xMQ/default.jpg</v>
      </c>
      <c r="G970" s="67"/>
      <c r="H970" s="71"/>
      <c r="I970" s="72"/>
      <c r="J970" s="72"/>
      <c r="K970" s="71" t="s">
        <v>2198</v>
      </c>
      <c r="L970" s="75"/>
      <c r="M970" s="76">
        <v>5133.416015625</v>
      </c>
      <c r="N970" s="76">
        <v>4516.56591796875</v>
      </c>
      <c r="O970" s="77"/>
      <c r="P970" s="78"/>
      <c r="Q970" s="78"/>
      <c r="R970" s="82"/>
      <c r="S970" s="82"/>
      <c r="T970" s="82"/>
      <c r="U970" s="82"/>
      <c r="V970" s="52"/>
      <c r="W970" s="52"/>
      <c r="X970" s="52"/>
      <c r="Y970" s="52"/>
      <c r="Z970" s="51"/>
      <c r="AA970" s="73">
        <v>970</v>
      </c>
      <c r="AB970" s="73"/>
      <c r="AC970" s="74"/>
      <c r="AD970" s="80" t="s">
        <v>2198</v>
      </c>
      <c r="AE970" s="80" t="s">
        <v>3101</v>
      </c>
      <c r="AF970" s="80"/>
      <c r="AG970" s="80" t="s">
        <v>4530</v>
      </c>
      <c r="AH970" s="80" t="s">
        <v>5523</v>
      </c>
      <c r="AI970" s="80">
        <v>268</v>
      </c>
      <c r="AJ970" s="80">
        <v>0</v>
      </c>
      <c r="AK970" s="80">
        <v>6</v>
      </c>
      <c r="AL970" s="80">
        <v>0</v>
      </c>
      <c r="AM970" s="80" t="s">
        <v>5614</v>
      </c>
      <c r="AN970" s="102" t="str">
        <f>HYPERLINK("https://www.youtube.com/watch?v=wVBLmvi7xMQ")</f>
        <v>https://www.youtube.com/watch?v=wVBLmvi7xMQ</v>
      </c>
      <c r="AO970" s="2"/>
      <c r="AP970" s="3"/>
      <c r="AQ970" s="3"/>
      <c r="AR970" s="3"/>
      <c r="AS970" s="3"/>
    </row>
    <row r="971" spans="1:45" ht="15">
      <c r="A971" s="66" t="s">
        <v>1146</v>
      </c>
      <c r="B971" s="67"/>
      <c r="C971" s="67"/>
      <c r="D971" s="68"/>
      <c r="E971" s="70"/>
      <c r="F971" s="100" t="str">
        <f>HYPERLINK("https://i.ytimg.com/vi/qReoGX9Xpik/default.jpg")</f>
        <v>https://i.ytimg.com/vi/qReoGX9Xpik/default.jpg</v>
      </c>
      <c r="G971" s="67"/>
      <c r="H971" s="71"/>
      <c r="I971" s="72"/>
      <c r="J971" s="72"/>
      <c r="K971" s="71" t="s">
        <v>2199</v>
      </c>
      <c r="L971" s="75"/>
      <c r="M971" s="76">
        <v>4901.97998046875</v>
      </c>
      <c r="N971" s="76">
        <v>5540.69580078125</v>
      </c>
      <c r="O971" s="77"/>
      <c r="P971" s="78"/>
      <c r="Q971" s="78"/>
      <c r="R971" s="82"/>
      <c r="S971" s="82"/>
      <c r="T971" s="82"/>
      <c r="U971" s="82"/>
      <c r="V971" s="52"/>
      <c r="W971" s="52"/>
      <c r="X971" s="52"/>
      <c r="Y971" s="52"/>
      <c r="Z971" s="51"/>
      <c r="AA971" s="73">
        <v>971</v>
      </c>
      <c r="AB971" s="73"/>
      <c r="AC971" s="74"/>
      <c r="AD971" s="80" t="s">
        <v>2199</v>
      </c>
      <c r="AE971" s="80" t="s">
        <v>3102</v>
      </c>
      <c r="AF971" s="80" t="s">
        <v>3789</v>
      </c>
      <c r="AG971" s="80" t="s">
        <v>4531</v>
      </c>
      <c r="AH971" s="80" t="s">
        <v>5524</v>
      </c>
      <c r="AI971" s="80">
        <v>877</v>
      </c>
      <c r="AJ971" s="80">
        <v>0</v>
      </c>
      <c r="AK971" s="80">
        <v>18</v>
      </c>
      <c r="AL971" s="80">
        <v>1</v>
      </c>
      <c r="AM971" s="80" t="s">
        <v>5614</v>
      </c>
      <c r="AN971" s="102" t="str">
        <f>HYPERLINK("https://www.youtube.com/watch?v=qReoGX9Xpik")</f>
        <v>https://www.youtube.com/watch?v=qReoGX9Xpik</v>
      </c>
      <c r="AO971" s="2"/>
      <c r="AP971" s="3"/>
      <c r="AQ971" s="3"/>
      <c r="AR971" s="3"/>
      <c r="AS971" s="3"/>
    </row>
    <row r="972" spans="1:45" ht="15">
      <c r="A972" s="66" t="s">
        <v>1147</v>
      </c>
      <c r="B972" s="67"/>
      <c r="C972" s="67"/>
      <c r="D972" s="68"/>
      <c r="E972" s="70"/>
      <c r="F972" s="100" t="str">
        <f>HYPERLINK("https://i.ytimg.com/vi/vK5x-ZZzezc/default.jpg")</f>
        <v>https://i.ytimg.com/vi/vK5x-ZZzezc/default.jpg</v>
      </c>
      <c r="G972" s="67"/>
      <c r="H972" s="71"/>
      <c r="I972" s="72"/>
      <c r="J972" s="72"/>
      <c r="K972" s="71" t="s">
        <v>2200</v>
      </c>
      <c r="L972" s="75"/>
      <c r="M972" s="76">
        <v>4904.9248046875</v>
      </c>
      <c r="N972" s="76">
        <v>5421.41064453125</v>
      </c>
      <c r="O972" s="77"/>
      <c r="P972" s="78"/>
      <c r="Q972" s="78"/>
      <c r="R972" s="82"/>
      <c r="S972" s="82"/>
      <c r="T972" s="82"/>
      <c r="U972" s="82"/>
      <c r="V972" s="52"/>
      <c r="W972" s="52"/>
      <c r="X972" s="52"/>
      <c r="Y972" s="52"/>
      <c r="Z972" s="51"/>
      <c r="AA972" s="73">
        <v>972</v>
      </c>
      <c r="AB972" s="73"/>
      <c r="AC972" s="74"/>
      <c r="AD972" s="80" t="s">
        <v>2200</v>
      </c>
      <c r="AE972" s="80"/>
      <c r="AF972" s="80"/>
      <c r="AG972" s="80" t="s">
        <v>4532</v>
      </c>
      <c r="AH972" s="80" t="s">
        <v>5525</v>
      </c>
      <c r="AI972" s="80">
        <v>201</v>
      </c>
      <c r="AJ972" s="80">
        <v>0</v>
      </c>
      <c r="AK972" s="80">
        <v>3</v>
      </c>
      <c r="AL972" s="80">
        <v>0</v>
      </c>
      <c r="AM972" s="80" t="s">
        <v>5614</v>
      </c>
      <c r="AN972" s="102" t="str">
        <f>HYPERLINK("https://www.youtube.com/watch?v=vK5x-ZZzezc")</f>
        <v>https://www.youtube.com/watch?v=vK5x-ZZzezc</v>
      </c>
      <c r="AO972" s="2"/>
      <c r="AP972" s="3"/>
      <c r="AQ972" s="3"/>
      <c r="AR972" s="3"/>
      <c r="AS972" s="3"/>
    </row>
    <row r="973" spans="1:45" ht="15">
      <c r="A973" s="66" t="s">
        <v>1148</v>
      </c>
      <c r="B973" s="67"/>
      <c r="C973" s="67"/>
      <c r="D973" s="68"/>
      <c r="E973" s="70"/>
      <c r="F973" s="100" t="str">
        <f>HYPERLINK("https://i.ytimg.com/vi/mfGXZatDiIU/default.jpg")</f>
        <v>https://i.ytimg.com/vi/mfGXZatDiIU/default.jpg</v>
      </c>
      <c r="G973" s="67"/>
      <c r="H973" s="71"/>
      <c r="I973" s="72"/>
      <c r="J973" s="72"/>
      <c r="K973" s="71" t="s">
        <v>2201</v>
      </c>
      <c r="L973" s="75"/>
      <c r="M973" s="76">
        <v>4753.26513671875</v>
      </c>
      <c r="N973" s="76">
        <v>5140.67529296875</v>
      </c>
      <c r="O973" s="77"/>
      <c r="P973" s="78"/>
      <c r="Q973" s="78"/>
      <c r="R973" s="82"/>
      <c r="S973" s="82"/>
      <c r="T973" s="82"/>
      <c r="U973" s="82"/>
      <c r="V973" s="52"/>
      <c r="W973" s="52"/>
      <c r="X973" s="52"/>
      <c r="Y973" s="52"/>
      <c r="Z973" s="51"/>
      <c r="AA973" s="73">
        <v>973</v>
      </c>
      <c r="AB973" s="73"/>
      <c r="AC973" s="74"/>
      <c r="AD973" s="80" t="s">
        <v>2201</v>
      </c>
      <c r="AE973" s="80" t="s">
        <v>3103</v>
      </c>
      <c r="AF973" s="80" t="s">
        <v>3790</v>
      </c>
      <c r="AG973" s="80" t="s">
        <v>4533</v>
      </c>
      <c r="AH973" s="80" t="s">
        <v>5526</v>
      </c>
      <c r="AI973" s="80">
        <v>37285</v>
      </c>
      <c r="AJ973" s="80">
        <v>0</v>
      </c>
      <c r="AK973" s="80">
        <v>106</v>
      </c>
      <c r="AL973" s="80">
        <v>12</v>
      </c>
      <c r="AM973" s="80" t="s">
        <v>5614</v>
      </c>
      <c r="AN973" s="102" t="str">
        <f>HYPERLINK("https://www.youtube.com/watch?v=mfGXZatDiIU")</f>
        <v>https://www.youtube.com/watch?v=mfGXZatDiIU</v>
      </c>
      <c r="AO973" s="2"/>
      <c r="AP973" s="3"/>
      <c r="AQ973" s="3"/>
      <c r="AR973" s="3"/>
      <c r="AS973" s="3"/>
    </row>
    <row r="974" spans="1:45" ht="15">
      <c r="A974" s="66" t="s">
        <v>1149</v>
      </c>
      <c r="B974" s="67"/>
      <c r="C974" s="67"/>
      <c r="D974" s="68"/>
      <c r="E974" s="70"/>
      <c r="F974" s="100" t="str">
        <f>HYPERLINK("https://i.ytimg.com/vi/UMexdbuKoVc/default.jpg")</f>
        <v>https://i.ytimg.com/vi/UMexdbuKoVc/default.jpg</v>
      </c>
      <c r="G974" s="67"/>
      <c r="H974" s="71"/>
      <c r="I974" s="72"/>
      <c r="J974" s="72"/>
      <c r="K974" s="71" t="s">
        <v>2202</v>
      </c>
      <c r="L974" s="75"/>
      <c r="M974" s="76">
        <v>4675.9716796875</v>
      </c>
      <c r="N974" s="76">
        <v>4872.9091796875</v>
      </c>
      <c r="O974" s="77"/>
      <c r="P974" s="78"/>
      <c r="Q974" s="78"/>
      <c r="R974" s="82"/>
      <c r="S974" s="82"/>
      <c r="T974" s="82"/>
      <c r="U974" s="82"/>
      <c r="V974" s="52"/>
      <c r="W974" s="52"/>
      <c r="X974" s="52"/>
      <c r="Y974" s="52"/>
      <c r="Z974" s="51"/>
      <c r="AA974" s="73">
        <v>974</v>
      </c>
      <c r="AB974" s="73"/>
      <c r="AC974" s="74"/>
      <c r="AD974" s="80" t="s">
        <v>2202</v>
      </c>
      <c r="AE974" s="80" t="s">
        <v>3104</v>
      </c>
      <c r="AF974" s="80" t="s">
        <v>3791</v>
      </c>
      <c r="AG974" s="80" t="s">
        <v>4534</v>
      </c>
      <c r="AH974" s="80" t="s">
        <v>5527</v>
      </c>
      <c r="AI974" s="80">
        <v>3582</v>
      </c>
      <c r="AJ974" s="80">
        <v>2</v>
      </c>
      <c r="AK974" s="80">
        <v>18</v>
      </c>
      <c r="AL974" s="80">
        <v>1</v>
      </c>
      <c r="AM974" s="80" t="s">
        <v>5614</v>
      </c>
      <c r="AN974" s="102" t="str">
        <f>HYPERLINK("https://www.youtube.com/watch?v=UMexdbuKoVc")</f>
        <v>https://www.youtube.com/watch?v=UMexdbuKoVc</v>
      </c>
      <c r="AO974" s="2"/>
      <c r="AP974" s="3"/>
      <c r="AQ974" s="3"/>
      <c r="AR974" s="3"/>
      <c r="AS974" s="3"/>
    </row>
    <row r="975" spans="1:45" ht="15">
      <c r="A975" s="66" t="s">
        <v>1150</v>
      </c>
      <c r="B975" s="67"/>
      <c r="C975" s="67"/>
      <c r="D975" s="68"/>
      <c r="E975" s="70"/>
      <c r="F975" s="100" t="str">
        <f>HYPERLINK("https://i.ytimg.com/vi/O6nK4fWprfY/default.jpg")</f>
        <v>https://i.ytimg.com/vi/O6nK4fWprfY/default.jpg</v>
      </c>
      <c r="G975" s="67"/>
      <c r="H975" s="71"/>
      <c r="I975" s="72"/>
      <c r="J975" s="72"/>
      <c r="K975" s="71" t="s">
        <v>2203</v>
      </c>
      <c r="L975" s="75"/>
      <c r="M975" s="76">
        <v>4921.40869140625</v>
      </c>
      <c r="N975" s="76">
        <v>4138.7978515625</v>
      </c>
      <c r="O975" s="77"/>
      <c r="P975" s="78"/>
      <c r="Q975" s="78"/>
      <c r="R975" s="82"/>
      <c r="S975" s="82"/>
      <c r="T975" s="82"/>
      <c r="U975" s="82"/>
      <c r="V975" s="52"/>
      <c r="W975" s="52"/>
      <c r="X975" s="52"/>
      <c r="Y975" s="52"/>
      <c r="Z975" s="51"/>
      <c r="AA975" s="73">
        <v>975</v>
      </c>
      <c r="AB975" s="73"/>
      <c r="AC975" s="74"/>
      <c r="AD975" s="80" t="s">
        <v>2203</v>
      </c>
      <c r="AE975" s="80" t="s">
        <v>3105</v>
      </c>
      <c r="AF975" s="80" t="s">
        <v>3792</v>
      </c>
      <c r="AG975" s="80" t="s">
        <v>4535</v>
      </c>
      <c r="AH975" s="80" t="s">
        <v>5528</v>
      </c>
      <c r="AI975" s="80">
        <v>16147</v>
      </c>
      <c r="AJ975" s="80">
        <v>11</v>
      </c>
      <c r="AK975" s="80">
        <v>217</v>
      </c>
      <c r="AL975" s="80">
        <v>11</v>
      </c>
      <c r="AM975" s="80" t="s">
        <v>5614</v>
      </c>
      <c r="AN975" s="102" t="str">
        <f>HYPERLINK("https://www.youtube.com/watch?v=O6nK4fWprfY")</f>
        <v>https://www.youtube.com/watch?v=O6nK4fWprfY</v>
      </c>
      <c r="AO975" s="2"/>
      <c r="AP975" s="3"/>
      <c r="AQ975" s="3"/>
      <c r="AR975" s="3"/>
      <c r="AS975" s="3"/>
    </row>
    <row r="976" spans="1:45" ht="15">
      <c r="A976" s="66" t="s">
        <v>1151</v>
      </c>
      <c r="B976" s="67"/>
      <c r="C976" s="67"/>
      <c r="D976" s="68"/>
      <c r="E976" s="70"/>
      <c r="F976" s="100" t="str">
        <f>HYPERLINK("https://i.ytimg.com/vi/MVtVJK_qbnI/default.jpg")</f>
        <v>https://i.ytimg.com/vi/MVtVJK_qbnI/default.jpg</v>
      </c>
      <c r="G976" s="67"/>
      <c r="H976" s="71"/>
      <c r="I976" s="72"/>
      <c r="J976" s="72"/>
      <c r="K976" s="71" t="s">
        <v>2204</v>
      </c>
      <c r="L976" s="75"/>
      <c r="M976" s="76">
        <v>5735.4384765625</v>
      </c>
      <c r="N976" s="76">
        <v>4009.393798828125</v>
      </c>
      <c r="O976" s="77"/>
      <c r="P976" s="78"/>
      <c r="Q976" s="78"/>
      <c r="R976" s="82"/>
      <c r="S976" s="82"/>
      <c r="T976" s="82"/>
      <c r="U976" s="82"/>
      <c r="V976" s="52"/>
      <c r="W976" s="52"/>
      <c r="X976" s="52"/>
      <c r="Y976" s="52"/>
      <c r="Z976" s="51"/>
      <c r="AA976" s="73">
        <v>976</v>
      </c>
      <c r="AB976" s="73"/>
      <c r="AC976" s="74"/>
      <c r="AD976" s="80" t="s">
        <v>2204</v>
      </c>
      <c r="AE976" s="80" t="s">
        <v>3106</v>
      </c>
      <c r="AF976" s="80" t="s">
        <v>3793</v>
      </c>
      <c r="AG976" s="80" t="s">
        <v>4536</v>
      </c>
      <c r="AH976" s="80" t="s">
        <v>5529</v>
      </c>
      <c r="AI976" s="80">
        <v>33569</v>
      </c>
      <c r="AJ976" s="80">
        <v>27</v>
      </c>
      <c r="AK976" s="80">
        <v>345</v>
      </c>
      <c r="AL976" s="80">
        <v>19</v>
      </c>
      <c r="AM976" s="80" t="s">
        <v>5614</v>
      </c>
      <c r="AN976" s="102" t="str">
        <f>HYPERLINK("https://www.youtube.com/watch?v=MVtVJK_qbnI")</f>
        <v>https://www.youtube.com/watch?v=MVtVJK_qbnI</v>
      </c>
      <c r="AO976" s="2"/>
      <c r="AP976" s="3"/>
      <c r="AQ976" s="3"/>
      <c r="AR976" s="3"/>
      <c r="AS976" s="3"/>
    </row>
    <row r="977" spans="1:45" ht="15">
      <c r="A977" s="66" t="s">
        <v>1152</v>
      </c>
      <c r="B977" s="67"/>
      <c r="C977" s="67"/>
      <c r="D977" s="68"/>
      <c r="E977" s="70"/>
      <c r="F977" s="100" t="str">
        <f>HYPERLINK("https://i.ytimg.com/vi/AgX4oJJ1ZyQ/default.jpg")</f>
        <v>https://i.ytimg.com/vi/AgX4oJJ1ZyQ/default.jpg</v>
      </c>
      <c r="G977" s="67"/>
      <c r="H977" s="71"/>
      <c r="I977" s="72"/>
      <c r="J977" s="72"/>
      <c r="K977" s="71" t="s">
        <v>2205</v>
      </c>
      <c r="L977" s="75"/>
      <c r="M977" s="76">
        <v>5160.291015625</v>
      </c>
      <c r="N977" s="76">
        <v>5600.0693359375</v>
      </c>
      <c r="O977" s="77"/>
      <c r="P977" s="78"/>
      <c r="Q977" s="78"/>
      <c r="R977" s="82"/>
      <c r="S977" s="82"/>
      <c r="T977" s="82"/>
      <c r="U977" s="82"/>
      <c r="V977" s="52"/>
      <c r="W977" s="52"/>
      <c r="X977" s="52"/>
      <c r="Y977" s="52"/>
      <c r="Z977" s="51"/>
      <c r="AA977" s="73">
        <v>977</v>
      </c>
      <c r="AB977" s="73"/>
      <c r="AC977" s="74"/>
      <c r="AD977" s="80" t="s">
        <v>2205</v>
      </c>
      <c r="AE977" s="80" t="s">
        <v>3107</v>
      </c>
      <c r="AF977" s="80" t="s">
        <v>3794</v>
      </c>
      <c r="AG977" s="80" t="s">
        <v>4537</v>
      </c>
      <c r="AH977" s="80" t="s">
        <v>5530</v>
      </c>
      <c r="AI977" s="80">
        <v>249916</v>
      </c>
      <c r="AJ977" s="80">
        <v>0</v>
      </c>
      <c r="AK977" s="80">
        <v>4808</v>
      </c>
      <c r="AL977" s="80">
        <v>154</v>
      </c>
      <c r="AM977" s="80" t="s">
        <v>5614</v>
      </c>
      <c r="AN977" s="102" t="str">
        <f>HYPERLINK("https://www.youtube.com/watch?v=AgX4oJJ1ZyQ")</f>
        <v>https://www.youtube.com/watch?v=AgX4oJJ1ZyQ</v>
      </c>
      <c r="AO977" s="2"/>
      <c r="AP977" s="3"/>
      <c r="AQ977" s="3"/>
      <c r="AR977" s="3"/>
      <c r="AS977" s="3"/>
    </row>
    <row r="978" spans="1:45" ht="15">
      <c r="A978" s="66" t="s">
        <v>1153</v>
      </c>
      <c r="B978" s="67"/>
      <c r="C978" s="67"/>
      <c r="D978" s="68"/>
      <c r="E978" s="70"/>
      <c r="F978" s="100" t="str">
        <f>HYPERLINK("https://i.ytimg.com/vi/_bP6NowsO-Y/default.jpg")</f>
        <v>https://i.ytimg.com/vi/_bP6NowsO-Y/default.jpg</v>
      </c>
      <c r="G978" s="67"/>
      <c r="H978" s="71"/>
      <c r="I978" s="72"/>
      <c r="J978" s="72"/>
      <c r="K978" s="71" t="s">
        <v>2206</v>
      </c>
      <c r="L978" s="75"/>
      <c r="M978" s="76">
        <v>4706.396484375</v>
      </c>
      <c r="N978" s="76">
        <v>5214.77392578125</v>
      </c>
      <c r="O978" s="77"/>
      <c r="P978" s="78"/>
      <c r="Q978" s="78"/>
      <c r="R978" s="82"/>
      <c r="S978" s="82"/>
      <c r="T978" s="82"/>
      <c r="U978" s="82"/>
      <c r="V978" s="52"/>
      <c r="W978" s="52"/>
      <c r="X978" s="52"/>
      <c r="Y978" s="52"/>
      <c r="Z978" s="51"/>
      <c r="AA978" s="73">
        <v>978</v>
      </c>
      <c r="AB978" s="73"/>
      <c r="AC978" s="74"/>
      <c r="AD978" s="80" t="s">
        <v>2206</v>
      </c>
      <c r="AE978" s="80" t="s">
        <v>3108</v>
      </c>
      <c r="AF978" s="80"/>
      <c r="AG978" s="80" t="s">
        <v>4538</v>
      </c>
      <c r="AH978" s="80" t="s">
        <v>5531</v>
      </c>
      <c r="AI978" s="80">
        <v>772739</v>
      </c>
      <c r="AJ978" s="80">
        <v>323</v>
      </c>
      <c r="AK978" s="80">
        <v>12915</v>
      </c>
      <c r="AL978" s="80">
        <v>282</v>
      </c>
      <c r="AM978" s="80" t="s">
        <v>5614</v>
      </c>
      <c r="AN978" s="102" t="str">
        <f>HYPERLINK("https://www.youtube.com/watch?v=_bP6NowsO-Y")</f>
        <v>https://www.youtube.com/watch?v=_bP6NowsO-Y</v>
      </c>
      <c r="AO978" s="2"/>
      <c r="AP978" s="3"/>
      <c r="AQ978" s="3"/>
      <c r="AR978" s="3"/>
      <c r="AS978" s="3"/>
    </row>
    <row r="979" spans="1:45" ht="15">
      <c r="A979" s="66" t="s">
        <v>1154</v>
      </c>
      <c r="B979" s="67"/>
      <c r="C979" s="67"/>
      <c r="D979" s="68"/>
      <c r="E979" s="70"/>
      <c r="F979" s="100" t="str">
        <f>HYPERLINK("https://i.ytimg.com/vi/qPV4GCeAuDY/default.jpg")</f>
        <v>https://i.ytimg.com/vi/qPV4GCeAuDY/default.jpg</v>
      </c>
      <c r="G979" s="67"/>
      <c r="H979" s="71"/>
      <c r="I979" s="72"/>
      <c r="J979" s="72"/>
      <c r="K979" s="71" t="s">
        <v>2207</v>
      </c>
      <c r="L979" s="75"/>
      <c r="M979" s="76">
        <v>5102.20654296875</v>
      </c>
      <c r="N979" s="76">
        <v>5289.33935546875</v>
      </c>
      <c r="O979" s="77"/>
      <c r="P979" s="78"/>
      <c r="Q979" s="78"/>
      <c r="R979" s="82"/>
      <c r="S979" s="82"/>
      <c r="T979" s="82"/>
      <c r="U979" s="82"/>
      <c r="V979" s="52"/>
      <c r="W979" s="52"/>
      <c r="X979" s="52"/>
      <c r="Y979" s="52"/>
      <c r="Z979" s="51"/>
      <c r="AA979" s="73">
        <v>979</v>
      </c>
      <c r="AB979" s="73"/>
      <c r="AC979" s="74"/>
      <c r="AD979" s="80" t="s">
        <v>2207</v>
      </c>
      <c r="AE979" s="80" t="s">
        <v>3109</v>
      </c>
      <c r="AF979" s="80" t="s">
        <v>3795</v>
      </c>
      <c r="AG979" s="80" t="s">
        <v>3943</v>
      </c>
      <c r="AH979" s="80" t="s">
        <v>5532</v>
      </c>
      <c r="AI979" s="80">
        <v>60069</v>
      </c>
      <c r="AJ979" s="80">
        <v>30</v>
      </c>
      <c r="AK979" s="80">
        <v>1549</v>
      </c>
      <c r="AL979" s="80">
        <v>23</v>
      </c>
      <c r="AM979" s="80" t="s">
        <v>5614</v>
      </c>
      <c r="AN979" s="102" t="str">
        <f>HYPERLINK("https://www.youtube.com/watch?v=qPV4GCeAuDY")</f>
        <v>https://www.youtube.com/watch?v=qPV4GCeAuDY</v>
      </c>
      <c r="AO979" s="2"/>
      <c r="AP979" s="3"/>
      <c r="AQ979" s="3"/>
      <c r="AR979" s="3"/>
      <c r="AS979" s="3"/>
    </row>
    <row r="980" spans="1:45" ht="15">
      <c r="A980" s="66" t="s">
        <v>1155</v>
      </c>
      <c r="B980" s="67"/>
      <c r="C980" s="67"/>
      <c r="D980" s="68"/>
      <c r="E980" s="70"/>
      <c r="F980" s="100" t="str">
        <f>HYPERLINK("https://i.ytimg.com/vi/3H81GlbOqZo/default.jpg")</f>
        <v>https://i.ytimg.com/vi/3H81GlbOqZo/default.jpg</v>
      </c>
      <c r="G980" s="67"/>
      <c r="H980" s="71"/>
      <c r="I980" s="72"/>
      <c r="J980" s="72"/>
      <c r="K980" s="71" t="s">
        <v>2208</v>
      </c>
      <c r="L980" s="75"/>
      <c r="M980" s="76">
        <v>5326.80712890625</v>
      </c>
      <c r="N980" s="76">
        <v>5456.5400390625</v>
      </c>
      <c r="O980" s="77"/>
      <c r="P980" s="78"/>
      <c r="Q980" s="78"/>
      <c r="R980" s="82"/>
      <c r="S980" s="82"/>
      <c r="T980" s="82"/>
      <c r="U980" s="82"/>
      <c r="V980" s="52"/>
      <c r="W980" s="52"/>
      <c r="X980" s="52"/>
      <c r="Y980" s="52"/>
      <c r="Z980" s="51"/>
      <c r="AA980" s="73">
        <v>980</v>
      </c>
      <c r="AB980" s="73"/>
      <c r="AC980" s="74"/>
      <c r="AD980" s="80" t="s">
        <v>2208</v>
      </c>
      <c r="AE980" s="80" t="s">
        <v>3110</v>
      </c>
      <c r="AF980" s="80" t="s">
        <v>3796</v>
      </c>
      <c r="AG980" s="80" t="s">
        <v>3903</v>
      </c>
      <c r="AH980" s="80" t="s">
        <v>5533</v>
      </c>
      <c r="AI980" s="80">
        <v>5717</v>
      </c>
      <c r="AJ980" s="80">
        <v>0</v>
      </c>
      <c r="AK980" s="80">
        <v>42</v>
      </c>
      <c r="AL980" s="80">
        <v>4</v>
      </c>
      <c r="AM980" s="80" t="s">
        <v>5614</v>
      </c>
      <c r="AN980" s="102" t="str">
        <f>HYPERLINK("https://www.youtube.com/watch?v=3H81GlbOqZo")</f>
        <v>https://www.youtube.com/watch?v=3H81GlbOqZo</v>
      </c>
      <c r="AO980" s="2"/>
      <c r="AP980" s="3"/>
      <c r="AQ980" s="3"/>
      <c r="AR980" s="3"/>
      <c r="AS980" s="3"/>
    </row>
    <row r="981" spans="1:45" ht="15">
      <c r="A981" s="66" t="s">
        <v>1156</v>
      </c>
      <c r="B981" s="67"/>
      <c r="C981" s="67"/>
      <c r="D981" s="68"/>
      <c r="E981" s="70"/>
      <c r="F981" s="100" t="str">
        <f>HYPERLINK("https://i.ytimg.com/vi/PBEMof8odBc/default.jpg")</f>
        <v>https://i.ytimg.com/vi/PBEMof8odBc/default.jpg</v>
      </c>
      <c r="G981" s="67"/>
      <c r="H981" s="71"/>
      <c r="I981" s="72"/>
      <c r="J981" s="72"/>
      <c r="K981" s="71" t="s">
        <v>2209</v>
      </c>
      <c r="L981" s="75"/>
      <c r="M981" s="76">
        <v>5205.7490234375</v>
      </c>
      <c r="N981" s="76">
        <v>5419.69775390625</v>
      </c>
      <c r="O981" s="77"/>
      <c r="P981" s="78"/>
      <c r="Q981" s="78"/>
      <c r="R981" s="82"/>
      <c r="S981" s="82"/>
      <c r="T981" s="82"/>
      <c r="U981" s="82"/>
      <c r="V981" s="52"/>
      <c r="W981" s="52"/>
      <c r="X981" s="52"/>
      <c r="Y981" s="52"/>
      <c r="Z981" s="51"/>
      <c r="AA981" s="73">
        <v>981</v>
      </c>
      <c r="AB981" s="73"/>
      <c r="AC981" s="74"/>
      <c r="AD981" s="80" t="s">
        <v>2209</v>
      </c>
      <c r="AE981" s="80" t="s">
        <v>3111</v>
      </c>
      <c r="AF981" s="80" t="s">
        <v>3797</v>
      </c>
      <c r="AG981" s="80" t="s">
        <v>3903</v>
      </c>
      <c r="AH981" s="80" t="s">
        <v>5534</v>
      </c>
      <c r="AI981" s="80">
        <v>2993</v>
      </c>
      <c r="AJ981" s="80">
        <v>0</v>
      </c>
      <c r="AK981" s="80">
        <v>16</v>
      </c>
      <c r="AL981" s="80">
        <v>1</v>
      </c>
      <c r="AM981" s="80" t="s">
        <v>5614</v>
      </c>
      <c r="AN981" s="102" t="str">
        <f>HYPERLINK("https://www.youtube.com/watch?v=PBEMof8odBc")</f>
        <v>https://www.youtube.com/watch?v=PBEMof8odBc</v>
      </c>
      <c r="AO981" s="2"/>
      <c r="AP981" s="3"/>
      <c r="AQ981" s="3"/>
      <c r="AR981" s="3"/>
      <c r="AS981" s="3"/>
    </row>
    <row r="982" spans="1:45" ht="15">
      <c r="A982" s="66" t="s">
        <v>1157</v>
      </c>
      <c r="B982" s="67"/>
      <c r="C982" s="67"/>
      <c r="D982" s="68"/>
      <c r="E982" s="70"/>
      <c r="F982" s="100" t="str">
        <f>HYPERLINK("https://i.ytimg.com/vi/y3qPfd0L7EY/default.jpg")</f>
        <v>https://i.ytimg.com/vi/y3qPfd0L7EY/default.jpg</v>
      </c>
      <c r="G982" s="67"/>
      <c r="H982" s="71"/>
      <c r="I982" s="72"/>
      <c r="J982" s="72"/>
      <c r="K982" s="71" t="s">
        <v>2210</v>
      </c>
      <c r="L982" s="75"/>
      <c r="M982" s="76">
        <v>4884.0966796875</v>
      </c>
      <c r="N982" s="76">
        <v>5528.302734375</v>
      </c>
      <c r="O982" s="77"/>
      <c r="P982" s="78"/>
      <c r="Q982" s="78"/>
      <c r="R982" s="82"/>
      <c r="S982" s="82"/>
      <c r="T982" s="82"/>
      <c r="U982" s="82"/>
      <c r="V982" s="52"/>
      <c r="W982" s="52"/>
      <c r="X982" s="52"/>
      <c r="Y982" s="52"/>
      <c r="Z982" s="51"/>
      <c r="AA982" s="73">
        <v>982</v>
      </c>
      <c r="AB982" s="73"/>
      <c r="AC982" s="74"/>
      <c r="AD982" s="80" t="s">
        <v>2210</v>
      </c>
      <c r="AE982" s="80" t="s">
        <v>3112</v>
      </c>
      <c r="AF982" s="80" t="s">
        <v>3798</v>
      </c>
      <c r="AG982" s="80" t="s">
        <v>3903</v>
      </c>
      <c r="AH982" s="80" t="s">
        <v>5535</v>
      </c>
      <c r="AI982" s="80">
        <v>747</v>
      </c>
      <c r="AJ982" s="80">
        <v>0</v>
      </c>
      <c r="AK982" s="80">
        <v>22</v>
      </c>
      <c r="AL982" s="80">
        <v>0</v>
      </c>
      <c r="AM982" s="80" t="s">
        <v>5614</v>
      </c>
      <c r="AN982" s="102" t="str">
        <f>HYPERLINK("https://www.youtube.com/watch?v=y3qPfd0L7EY")</f>
        <v>https://www.youtube.com/watch?v=y3qPfd0L7EY</v>
      </c>
      <c r="AO982" s="2"/>
      <c r="AP982" s="3"/>
      <c r="AQ982" s="3"/>
      <c r="AR982" s="3"/>
      <c r="AS982" s="3"/>
    </row>
    <row r="983" spans="1:45" ht="15">
      <c r="A983" s="66" t="s">
        <v>1158</v>
      </c>
      <c r="B983" s="67"/>
      <c r="C983" s="67"/>
      <c r="D983" s="68"/>
      <c r="E983" s="70"/>
      <c r="F983" s="100" t="str">
        <f>HYPERLINK("https://i.ytimg.com/vi/ued4HgbHBPM/default.jpg")</f>
        <v>https://i.ytimg.com/vi/ued4HgbHBPM/default.jpg</v>
      </c>
      <c r="G983" s="67"/>
      <c r="H983" s="71"/>
      <c r="I983" s="72"/>
      <c r="J983" s="72"/>
      <c r="K983" s="71" t="s">
        <v>2211</v>
      </c>
      <c r="L983" s="75"/>
      <c r="M983" s="76">
        <v>5143.4638671875</v>
      </c>
      <c r="N983" s="76">
        <v>5528.55029296875</v>
      </c>
      <c r="O983" s="77"/>
      <c r="P983" s="78"/>
      <c r="Q983" s="78"/>
      <c r="R983" s="82"/>
      <c r="S983" s="82"/>
      <c r="T983" s="82"/>
      <c r="U983" s="82"/>
      <c r="V983" s="52"/>
      <c r="W983" s="52"/>
      <c r="X983" s="52"/>
      <c r="Y983" s="52"/>
      <c r="Z983" s="51"/>
      <c r="AA983" s="73">
        <v>983</v>
      </c>
      <c r="AB983" s="73"/>
      <c r="AC983" s="74"/>
      <c r="AD983" s="80" t="s">
        <v>2211</v>
      </c>
      <c r="AE983" s="80" t="s">
        <v>3113</v>
      </c>
      <c r="AF983" s="80" t="s">
        <v>3799</v>
      </c>
      <c r="AG983" s="80" t="s">
        <v>4539</v>
      </c>
      <c r="AH983" s="80" t="s">
        <v>5536</v>
      </c>
      <c r="AI983" s="80">
        <v>111289</v>
      </c>
      <c r="AJ983" s="80">
        <v>603</v>
      </c>
      <c r="AK983" s="80">
        <v>4203</v>
      </c>
      <c r="AL983" s="80">
        <v>122</v>
      </c>
      <c r="AM983" s="80" t="s">
        <v>5614</v>
      </c>
      <c r="AN983" s="102" t="str">
        <f>HYPERLINK("https://www.youtube.com/watch?v=ued4HgbHBPM")</f>
        <v>https://www.youtube.com/watch?v=ued4HgbHBPM</v>
      </c>
      <c r="AO983" s="2"/>
      <c r="AP983" s="3"/>
      <c r="AQ983" s="3"/>
      <c r="AR983" s="3"/>
      <c r="AS983" s="3"/>
    </row>
    <row r="984" spans="1:45" ht="15">
      <c r="A984" s="66" t="s">
        <v>1159</v>
      </c>
      <c r="B984" s="67"/>
      <c r="C984" s="67"/>
      <c r="D984" s="68"/>
      <c r="E984" s="70"/>
      <c r="F984" s="100" t="str">
        <f>HYPERLINK("https://i.ytimg.com/vi/yLPe3MgEjls/default.jpg")</f>
        <v>https://i.ytimg.com/vi/yLPe3MgEjls/default.jpg</v>
      </c>
      <c r="G984" s="67"/>
      <c r="H984" s="71"/>
      <c r="I984" s="72"/>
      <c r="J984" s="72"/>
      <c r="K984" s="71" t="s">
        <v>2212</v>
      </c>
      <c r="L984" s="75"/>
      <c r="M984" s="76">
        <v>5338.2333984375</v>
      </c>
      <c r="N984" s="76">
        <v>5540.16845703125</v>
      </c>
      <c r="O984" s="77"/>
      <c r="P984" s="78"/>
      <c r="Q984" s="78"/>
      <c r="R984" s="82"/>
      <c r="S984" s="82"/>
      <c r="T984" s="82"/>
      <c r="U984" s="82"/>
      <c r="V984" s="52"/>
      <c r="W984" s="52"/>
      <c r="X984" s="52"/>
      <c r="Y984" s="52"/>
      <c r="Z984" s="51"/>
      <c r="AA984" s="73">
        <v>984</v>
      </c>
      <c r="AB984" s="73"/>
      <c r="AC984" s="74"/>
      <c r="AD984" s="80" t="s">
        <v>2212</v>
      </c>
      <c r="AE984" s="80" t="s">
        <v>3114</v>
      </c>
      <c r="AF984" s="80" t="s">
        <v>3800</v>
      </c>
      <c r="AG984" s="80" t="s">
        <v>3943</v>
      </c>
      <c r="AH984" s="80" t="s">
        <v>5537</v>
      </c>
      <c r="AI984" s="80">
        <v>17014</v>
      </c>
      <c r="AJ984" s="80">
        <v>147</v>
      </c>
      <c r="AK984" s="80">
        <v>697</v>
      </c>
      <c r="AL984" s="80">
        <v>18</v>
      </c>
      <c r="AM984" s="80" t="s">
        <v>5614</v>
      </c>
      <c r="AN984" s="102" t="str">
        <f>HYPERLINK("https://www.youtube.com/watch?v=yLPe3MgEjls")</f>
        <v>https://www.youtube.com/watch?v=yLPe3MgEjls</v>
      </c>
      <c r="AO984" s="2"/>
      <c r="AP984" s="3"/>
      <c r="AQ984" s="3"/>
      <c r="AR984" s="3"/>
      <c r="AS984" s="3"/>
    </row>
    <row r="985" spans="1:45" ht="15">
      <c r="A985" s="66" t="s">
        <v>1160</v>
      </c>
      <c r="B985" s="67"/>
      <c r="C985" s="67"/>
      <c r="D985" s="68"/>
      <c r="E985" s="70"/>
      <c r="F985" s="100" t="str">
        <f>HYPERLINK("https://i.ytimg.com/vi/23wuptlxUuQ/default.jpg")</f>
        <v>https://i.ytimg.com/vi/23wuptlxUuQ/default.jpg</v>
      </c>
      <c r="G985" s="67"/>
      <c r="H985" s="71"/>
      <c r="I985" s="72"/>
      <c r="J985" s="72"/>
      <c r="K985" s="71" t="s">
        <v>2213</v>
      </c>
      <c r="L985" s="75"/>
      <c r="M985" s="76">
        <v>5357.80322265625</v>
      </c>
      <c r="N985" s="76">
        <v>643.4988403320312</v>
      </c>
      <c r="O985" s="77"/>
      <c r="P985" s="78"/>
      <c r="Q985" s="78"/>
      <c r="R985" s="82"/>
      <c r="S985" s="82"/>
      <c r="T985" s="82"/>
      <c r="U985" s="82"/>
      <c r="V985" s="52"/>
      <c r="W985" s="52"/>
      <c r="X985" s="52"/>
      <c r="Y985" s="52"/>
      <c r="Z985" s="51"/>
      <c r="AA985" s="73">
        <v>985</v>
      </c>
      <c r="AB985" s="73"/>
      <c r="AC985" s="74"/>
      <c r="AD985" s="80" t="s">
        <v>2213</v>
      </c>
      <c r="AE985" s="80" t="s">
        <v>3115</v>
      </c>
      <c r="AF985" s="80" t="s">
        <v>3801</v>
      </c>
      <c r="AG985" s="80" t="s">
        <v>3884</v>
      </c>
      <c r="AH985" s="80" t="s">
        <v>5538</v>
      </c>
      <c r="AI985" s="80">
        <v>28531</v>
      </c>
      <c r="AJ985" s="80">
        <v>13</v>
      </c>
      <c r="AK985" s="80">
        <v>366</v>
      </c>
      <c r="AL985" s="80">
        <v>24</v>
      </c>
      <c r="AM985" s="80" t="s">
        <v>5614</v>
      </c>
      <c r="AN985" s="102" t="str">
        <f>HYPERLINK("https://www.youtube.com/watch?v=23wuptlxUuQ")</f>
        <v>https://www.youtube.com/watch?v=23wuptlxUuQ</v>
      </c>
      <c r="AO985" s="2"/>
      <c r="AP985" s="3"/>
      <c r="AQ985" s="3"/>
      <c r="AR985" s="3"/>
      <c r="AS985" s="3"/>
    </row>
    <row r="986" spans="1:45" ht="15">
      <c r="A986" s="66" t="s">
        <v>1161</v>
      </c>
      <c r="B986" s="67"/>
      <c r="C986" s="67"/>
      <c r="D986" s="68"/>
      <c r="E986" s="70"/>
      <c r="F986" s="100" t="str">
        <f>HYPERLINK("https://i.ytimg.com/vi/_h1XmNejD-s/default.jpg")</f>
        <v>https://i.ytimg.com/vi/_h1XmNejD-s/default.jpg</v>
      </c>
      <c r="G986" s="67"/>
      <c r="H986" s="71"/>
      <c r="I986" s="72"/>
      <c r="J986" s="72"/>
      <c r="K986" s="71" t="s">
        <v>2214</v>
      </c>
      <c r="L986" s="75"/>
      <c r="M986" s="76">
        <v>6685.1630859375</v>
      </c>
      <c r="N986" s="76">
        <v>856.8385620117188</v>
      </c>
      <c r="O986" s="77"/>
      <c r="P986" s="78"/>
      <c r="Q986" s="78"/>
      <c r="R986" s="82"/>
      <c r="S986" s="82"/>
      <c r="T986" s="82"/>
      <c r="U986" s="82"/>
      <c r="V986" s="52"/>
      <c r="W986" s="52"/>
      <c r="X986" s="52"/>
      <c r="Y986" s="52"/>
      <c r="Z986" s="51"/>
      <c r="AA986" s="73">
        <v>986</v>
      </c>
      <c r="AB986" s="73"/>
      <c r="AC986" s="74"/>
      <c r="AD986" s="80" t="s">
        <v>2214</v>
      </c>
      <c r="AE986" s="80" t="s">
        <v>3116</v>
      </c>
      <c r="AF986" s="80" t="s">
        <v>3802</v>
      </c>
      <c r="AG986" s="80" t="s">
        <v>3884</v>
      </c>
      <c r="AH986" s="80" t="s">
        <v>5539</v>
      </c>
      <c r="AI986" s="80">
        <v>131345</v>
      </c>
      <c r="AJ986" s="80">
        <v>29</v>
      </c>
      <c r="AK986" s="80">
        <v>861</v>
      </c>
      <c r="AL986" s="80">
        <v>70</v>
      </c>
      <c r="AM986" s="80" t="s">
        <v>5614</v>
      </c>
      <c r="AN986" s="102" t="str">
        <f>HYPERLINK("https://www.youtube.com/watch?v=_h1XmNejD-s")</f>
        <v>https://www.youtube.com/watch?v=_h1XmNejD-s</v>
      </c>
      <c r="AO986" s="2"/>
      <c r="AP986" s="3"/>
      <c r="AQ986" s="3"/>
      <c r="AR986" s="3"/>
      <c r="AS986" s="3"/>
    </row>
    <row r="987" spans="1:45" ht="15">
      <c r="A987" s="66" t="s">
        <v>1162</v>
      </c>
      <c r="B987" s="67"/>
      <c r="C987" s="67"/>
      <c r="D987" s="68"/>
      <c r="E987" s="70"/>
      <c r="F987" s="100" t="str">
        <f>HYPERLINK("https://i.ytimg.com/vi/iIB5-AcazN4/default.jpg")</f>
        <v>https://i.ytimg.com/vi/iIB5-AcazN4/default.jpg</v>
      </c>
      <c r="G987" s="67"/>
      <c r="H987" s="71"/>
      <c r="I987" s="72"/>
      <c r="J987" s="72"/>
      <c r="K987" s="71" t="s">
        <v>2215</v>
      </c>
      <c r="L987" s="75"/>
      <c r="M987" s="76">
        <v>6508.04248046875</v>
      </c>
      <c r="N987" s="76">
        <v>892.1074829101562</v>
      </c>
      <c r="O987" s="77"/>
      <c r="P987" s="78"/>
      <c r="Q987" s="78"/>
      <c r="R987" s="82"/>
      <c r="S987" s="82"/>
      <c r="T987" s="82"/>
      <c r="U987" s="82"/>
      <c r="V987" s="52"/>
      <c r="W987" s="52"/>
      <c r="X987" s="52"/>
      <c r="Y987" s="52"/>
      <c r="Z987" s="51"/>
      <c r="AA987" s="73">
        <v>987</v>
      </c>
      <c r="AB987" s="73"/>
      <c r="AC987" s="74"/>
      <c r="AD987" s="80" t="s">
        <v>2215</v>
      </c>
      <c r="AE987" s="80" t="s">
        <v>3117</v>
      </c>
      <c r="AF987" s="80" t="s">
        <v>3803</v>
      </c>
      <c r="AG987" s="80" t="s">
        <v>3884</v>
      </c>
      <c r="AH987" s="80" t="s">
        <v>5540</v>
      </c>
      <c r="AI987" s="80">
        <v>16949</v>
      </c>
      <c r="AJ987" s="80">
        <v>4</v>
      </c>
      <c r="AK987" s="80">
        <v>173</v>
      </c>
      <c r="AL987" s="80">
        <v>9</v>
      </c>
      <c r="AM987" s="80" t="s">
        <v>5614</v>
      </c>
      <c r="AN987" s="102" t="str">
        <f>HYPERLINK("https://www.youtube.com/watch?v=iIB5-AcazN4")</f>
        <v>https://www.youtube.com/watch?v=iIB5-AcazN4</v>
      </c>
      <c r="AO987" s="2"/>
      <c r="AP987" s="3"/>
      <c r="AQ987" s="3"/>
      <c r="AR987" s="3"/>
      <c r="AS987" s="3"/>
    </row>
    <row r="988" spans="1:45" ht="15">
      <c r="A988" s="66" t="s">
        <v>1163</v>
      </c>
      <c r="B988" s="67"/>
      <c r="C988" s="67"/>
      <c r="D988" s="68"/>
      <c r="E988" s="70"/>
      <c r="F988" s="100" t="str">
        <f>HYPERLINK("https://i.ytimg.com/vi/RiQxaAqeCUw/default.jpg")</f>
        <v>https://i.ytimg.com/vi/RiQxaAqeCUw/default.jpg</v>
      </c>
      <c r="G988" s="67"/>
      <c r="H988" s="71"/>
      <c r="I988" s="72"/>
      <c r="J988" s="72"/>
      <c r="K988" s="71" t="s">
        <v>2216</v>
      </c>
      <c r="L988" s="75"/>
      <c r="M988" s="76">
        <v>6343.54248046875</v>
      </c>
      <c r="N988" s="76">
        <v>678.086181640625</v>
      </c>
      <c r="O988" s="77"/>
      <c r="P988" s="78"/>
      <c r="Q988" s="78"/>
      <c r="R988" s="82"/>
      <c r="S988" s="82"/>
      <c r="T988" s="82"/>
      <c r="U988" s="82"/>
      <c r="V988" s="52"/>
      <c r="W988" s="52"/>
      <c r="X988" s="52"/>
      <c r="Y988" s="52"/>
      <c r="Z988" s="51"/>
      <c r="AA988" s="73">
        <v>988</v>
      </c>
      <c r="AB988" s="73"/>
      <c r="AC988" s="74"/>
      <c r="AD988" s="80" t="s">
        <v>2216</v>
      </c>
      <c r="AE988" s="80" t="s">
        <v>3118</v>
      </c>
      <c r="AF988" s="80" t="s">
        <v>3804</v>
      </c>
      <c r="AG988" s="80" t="s">
        <v>3884</v>
      </c>
      <c r="AH988" s="80" t="s">
        <v>5541</v>
      </c>
      <c r="AI988" s="80">
        <v>129655</v>
      </c>
      <c r="AJ988" s="80">
        <v>34</v>
      </c>
      <c r="AK988" s="80">
        <v>1602</v>
      </c>
      <c r="AL988" s="80">
        <v>54</v>
      </c>
      <c r="AM988" s="80" t="s">
        <v>5614</v>
      </c>
      <c r="AN988" s="102" t="str">
        <f>HYPERLINK("https://www.youtube.com/watch?v=RiQxaAqeCUw")</f>
        <v>https://www.youtube.com/watch?v=RiQxaAqeCUw</v>
      </c>
      <c r="AO988" s="2"/>
      <c r="AP988" s="3"/>
      <c r="AQ988" s="3"/>
      <c r="AR988" s="3"/>
      <c r="AS988" s="3"/>
    </row>
    <row r="989" spans="1:45" ht="15">
      <c r="A989" s="66" t="s">
        <v>1164</v>
      </c>
      <c r="B989" s="67"/>
      <c r="C989" s="67"/>
      <c r="D989" s="68"/>
      <c r="E989" s="70"/>
      <c r="F989" s="100" t="str">
        <f>HYPERLINK("https://i.ytimg.com/vi/V7Tg5Gq4ZSQ/default.jpg")</f>
        <v>https://i.ytimg.com/vi/V7Tg5Gq4ZSQ/default.jpg</v>
      </c>
      <c r="G989" s="67"/>
      <c r="H989" s="71"/>
      <c r="I989" s="72"/>
      <c r="J989" s="72"/>
      <c r="K989" s="71" t="s">
        <v>2217</v>
      </c>
      <c r="L989" s="75"/>
      <c r="M989" s="76">
        <v>6120.884765625</v>
      </c>
      <c r="N989" s="76">
        <v>851.5383911132812</v>
      </c>
      <c r="O989" s="77"/>
      <c r="P989" s="78"/>
      <c r="Q989" s="78"/>
      <c r="R989" s="82"/>
      <c r="S989" s="82"/>
      <c r="T989" s="82"/>
      <c r="U989" s="82"/>
      <c r="V989" s="52"/>
      <c r="W989" s="52"/>
      <c r="X989" s="52"/>
      <c r="Y989" s="52"/>
      <c r="Z989" s="51"/>
      <c r="AA989" s="73">
        <v>989</v>
      </c>
      <c r="AB989" s="73"/>
      <c r="AC989" s="74"/>
      <c r="AD989" s="80" t="s">
        <v>2217</v>
      </c>
      <c r="AE989" s="80" t="s">
        <v>3119</v>
      </c>
      <c r="AF989" s="80" t="s">
        <v>3805</v>
      </c>
      <c r="AG989" s="80" t="s">
        <v>3884</v>
      </c>
      <c r="AH989" s="80" t="s">
        <v>5542</v>
      </c>
      <c r="AI989" s="80">
        <v>31119</v>
      </c>
      <c r="AJ989" s="80">
        <v>21</v>
      </c>
      <c r="AK989" s="80">
        <v>402</v>
      </c>
      <c r="AL989" s="80">
        <v>15</v>
      </c>
      <c r="AM989" s="80" t="s">
        <v>5614</v>
      </c>
      <c r="AN989" s="102" t="str">
        <f>HYPERLINK("https://www.youtube.com/watch?v=V7Tg5Gq4ZSQ")</f>
        <v>https://www.youtube.com/watch?v=V7Tg5Gq4ZSQ</v>
      </c>
      <c r="AO989" s="2"/>
      <c r="AP989" s="3"/>
      <c r="AQ989" s="3"/>
      <c r="AR989" s="3"/>
      <c r="AS989" s="3"/>
    </row>
    <row r="990" spans="1:45" ht="15">
      <c r="A990" s="66" t="s">
        <v>1165</v>
      </c>
      <c r="B990" s="67"/>
      <c r="C990" s="67"/>
      <c r="D990" s="68"/>
      <c r="E990" s="70"/>
      <c r="F990" s="100" t="str">
        <f>HYPERLINK("https://i.ytimg.com/vi/IeBl-yVjrqQ/default.jpg")</f>
        <v>https://i.ytimg.com/vi/IeBl-yVjrqQ/default.jpg</v>
      </c>
      <c r="G990" s="67"/>
      <c r="H990" s="71"/>
      <c r="I990" s="72"/>
      <c r="J990" s="72"/>
      <c r="K990" s="71" t="s">
        <v>2218</v>
      </c>
      <c r="L990" s="75"/>
      <c r="M990" s="76">
        <v>5482.16162109375</v>
      </c>
      <c r="N990" s="76">
        <v>570.9115600585938</v>
      </c>
      <c r="O990" s="77"/>
      <c r="P990" s="78"/>
      <c r="Q990" s="78"/>
      <c r="R990" s="82"/>
      <c r="S990" s="82"/>
      <c r="T990" s="82"/>
      <c r="U990" s="82"/>
      <c r="V990" s="52"/>
      <c r="W990" s="52"/>
      <c r="X990" s="52"/>
      <c r="Y990" s="52"/>
      <c r="Z990" s="51"/>
      <c r="AA990" s="73">
        <v>990</v>
      </c>
      <c r="AB990" s="73"/>
      <c r="AC990" s="74"/>
      <c r="AD990" s="80" t="s">
        <v>2218</v>
      </c>
      <c r="AE990" s="80" t="s">
        <v>3120</v>
      </c>
      <c r="AF990" s="80" t="s">
        <v>3806</v>
      </c>
      <c r="AG990" s="80" t="s">
        <v>3884</v>
      </c>
      <c r="AH990" s="80" t="s">
        <v>5543</v>
      </c>
      <c r="AI990" s="80">
        <v>19360</v>
      </c>
      <c r="AJ990" s="80">
        <v>6</v>
      </c>
      <c r="AK990" s="80">
        <v>225</v>
      </c>
      <c r="AL990" s="80">
        <v>8</v>
      </c>
      <c r="AM990" s="80" t="s">
        <v>5614</v>
      </c>
      <c r="AN990" s="102" t="str">
        <f>HYPERLINK("https://www.youtube.com/watch?v=IeBl-yVjrqQ")</f>
        <v>https://www.youtube.com/watch?v=IeBl-yVjrqQ</v>
      </c>
      <c r="AO990" s="2"/>
      <c r="AP990" s="3"/>
      <c r="AQ990" s="3"/>
      <c r="AR990" s="3"/>
      <c r="AS990" s="3"/>
    </row>
    <row r="991" spans="1:45" ht="15">
      <c r="A991" s="66" t="s">
        <v>1166</v>
      </c>
      <c r="B991" s="67"/>
      <c r="C991" s="67"/>
      <c r="D991" s="68"/>
      <c r="E991" s="70"/>
      <c r="F991" s="100" t="str">
        <f>HYPERLINK("https://i.ytimg.com/vi/CHxhjDPKfbY/default.jpg")</f>
        <v>https://i.ytimg.com/vi/CHxhjDPKfbY/default.jpg</v>
      </c>
      <c r="G991" s="67"/>
      <c r="H991" s="71"/>
      <c r="I991" s="72"/>
      <c r="J991" s="72"/>
      <c r="K991" s="71" t="s">
        <v>2219</v>
      </c>
      <c r="L991" s="75"/>
      <c r="M991" s="76">
        <v>5892.5009765625</v>
      </c>
      <c r="N991" s="76">
        <v>747.6898193359375</v>
      </c>
      <c r="O991" s="77"/>
      <c r="P991" s="78"/>
      <c r="Q991" s="78"/>
      <c r="R991" s="82"/>
      <c r="S991" s="82"/>
      <c r="T991" s="82"/>
      <c r="U991" s="82"/>
      <c r="V991" s="52"/>
      <c r="W991" s="52"/>
      <c r="X991" s="52"/>
      <c r="Y991" s="52"/>
      <c r="Z991" s="51"/>
      <c r="AA991" s="73">
        <v>991</v>
      </c>
      <c r="AB991" s="73"/>
      <c r="AC991" s="74"/>
      <c r="AD991" s="80" t="s">
        <v>2219</v>
      </c>
      <c r="AE991" s="80" t="s">
        <v>3121</v>
      </c>
      <c r="AF991" s="80" t="s">
        <v>3807</v>
      </c>
      <c r="AG991" s="80" t="s">
        <v>3884</v>
      </c>
      <c r="AH991" s="80" t="s">
        <v>5544</v>
      </c>
      <c r="AI991" s="80">
        <v>2564082</v>
      </c>
      <c r="AJ991" s="80">
        <v>769</v>
      </c>
      <c r="AK991" s="80">
        <v>28297</v>
      </c>
      <c r="AL991" s="80">
        <v>1122</v>
      </c>
      <c r="AM991" s="80" t="s">
        <v>5614</v>
      </c>
      <c r="AN991" s="102" t="str">
        <f>HYPERLINK("https://www.youtube.com/watch?v=CHxhjDPKfbY")</f>
        <v>https://www.youtube.com/watch?v=CHxhjDPKfbY</v>
      </c>
      <c r="AO991" s="2"/>
      <c r="AP991" s="3"/>
      <c r="AQ991" s="3"/>
      <c r="AR991" s="3"/>
      <c r="AS991" s="3"/>
    </row>
    <row r="992" spans="1:45" ht="15">
      <c r="A992" s="66" t="s">
        <v>1167</v>
      </c>
      <c r="B992" s="67"/>
      <c r="C992" s="67"/>
      <c r="D992" s="68"/>
      <c r="E992" s="70"/>
      <c r="F992" s="100" t="str">
        <f>HYPERLINK("https://i.ytimg.com/vi/xnNvTwlFZRM/default.jpg")</f>
        <v>https://i.ytimg.com/vi/xnNvTwlFZRM/default.jpg</v>
      </c>
      <c r="G992" s="67"/>
      <c r="H992" s="71"/>
      <c r="I992" s="72"/>
      <c r="J992" s="72"/>
      <c r="K992" s="71" t="s">
        <v>2220</v>
      </c>
      <c r="L992" s="75"/>
      <c r="M992" s="76">
        <v>5395.0322265625</v>
      </c>
      <c r="N992" s="76">
        <v>644.5346069335938</v>
      </c>
      <c r="O992" s="77"/>
      <c r="P992" s="78"/>
      <c r="Q992" s="78"/>
      <c r="R992" s="82"/>
      <c r="S992" s="82"/>
      <c r="T992" s="82"/>
      <c r="U992" s="82"/>
      <c r="V992" s="52"/>
      <c r="W992" s="52"/>
      <c r="X992" s="52"/>
      <c r="Y992" s="52"/>
      <c r="Z992" s="51"/>
      <c r="AA992" s="73">
        <v>992</v>
      </c>
      <c r="AB992" s="73"/>
      <c r="AC992" s="74"/>
      <c r="AD992" s="80" t="s">
        <v>2220</v>
      </c>
      <c r="AE992" s="80" t="s">
        <v>3122</v>
      </c>
      <c r="AF992" s="80" t="s">
        <v>3808</v>
      </c>
      <c r="AG992" s="80" t="s">
        <v>3884</v>
      </c>
      <c r="AH992" s="80" t="s">
        <v>5545</v>
      </c>
      <c r="AI992" s="80">
        <v>52273</v>
      </c>
      <c r="AJ992" s="80">
        <v>99</v>
      </c>
      <c r="AK992" s="80">
        <v>794</v>
      </c>
      <c r="AL992" s="80">
        <v>55</v>
      </c>
      <c r="AM992" s="80" t="s">
        <v>5614</v>
      </c>
      <c r="AN992" s="102" t="str">
        <f>HYPERLINK("https://www.youtube.com/watch?v=xnNvTwlFZRM")</f>
        <v>https://www.youtube.com/watch?v=xnNvTwlFZRM</v>
      </c>
      <c r="AO992" s="2"/>
      <c r="AP992" s="3"/>
      <c r="AQ992" s="3"/>
      <c r="AR992" s="3"/>
      <c r="AS992" s="3"/>
    </row>
    <row r="993" spans="1:45" ht="15">
      <c r="A993" s="66" t="s">
        <v>1168</v>
      </c>
      <c r="B993" s="67"/>
      <c r="C993" s="67"/>
      <c r="D993" s="68"/>
      <c r="E993" s="70"/>
      <c r="F993" s="100" t="str">
        <f>HYPERLINK("https://i.ytimg.com/vi/MtOG5PK8xDA/default.jpg")</f>
        <v>https://i.ytimg.com/vi/MtOG5PK8xDA/default.jpg</v>
      </c>
      <c r="G993" s="67"/>
      <c r="H993" s="71"/>
      <c r="I993" s="72"/>
      <c r="J993" s="72"/>
      <c r="K993" s="71" t="s">
        <v>2221</v>
      </c>
      <c r="L993" s="75"/>
      <c r="M993" s="76">
        <v>5808.18994140625</v>
      </c>
      <c r="N993" s="76">
        <v>747.866943359375</v>
      </c>
      <c r="O993" s="77"/>
      <c r="P993" s="78"/>
      <c r="Q993" s="78"/>
      <c r="R993" s="82"/>
      <c r="S993" s="82"/>
      <c r="T993" s="82"/>
      <c r="U993" s="82"/>
      <c r="V993" s="52"/>
      <c r="W993" s="52"/>
      <c r="X993" s="52"/>
      <c r="Y993" s="52"/>
      <c r="Z993" s="51"/>
      <c r="AA993" s="73">
        <v>993</v>
      </c>
      <c r="AB993" s="73"/>
      <c r="AC993" s="74"/>
      <c r="AD993" s="80" t="s">
        <v>2221</v>
      </c>
      <c r="AE993" s="80" t="s">
        <v>3123</v>
      </c>
      <c r="AF993" s="80" t="s">
        <v>3809</v>
      </c>
      <c r="AG993" s="80" t="s">
        <v>3884</v>
      </c>
      <c r="AH993" s="80" t="s">
        <v>5546</v>
      </c>
      <c r="AI993" s="80">
        <v>912120</v>
      </c>
      <c r="AJ993" s="80">
        <v>404</v>
      </c>
      <c r="AK993" s="80">
        <v>8182</v>
      </c>
      <c r="AL993" s="80">
        <v>516</v>
      </c>
      <c r="AM993" s="80" t="s">
        <v>5614</v>
      </c>
      <c r="AN993" s="102" t="str">
        <f>HYPERLINK("https://www.youtube.com/watch?v=MtOG5PK8xDA")</f>
        <v>https://www.youtube.com/watch?v=MtOG5PK8xDA</v>
      </c>
      <c r="AO993" s="2"/>
      <c r="AP993" s="3"/>
      <c r="AQ993" s="3"/>
      <c r="AR993" s="3"/>
      <c r="AS993" s="3"/>
    </row>
    <row r="994" spans="1:45" ht="15">
      <c r="A994" s="66" t="s">
        <v>1169</v>
      </c>
      <c r="B994" s="67"/>
      <c r="C994" s="67"/>
      <c r="D994" s="68"/>
      <c r="E994" s="70"/>
      <c r="F994" s="100" t="str">
        <f>HYPERLINK("https://i.ytimg.com/vi/jgfVynauFpE/default.jpg")</f>
        <v>https://i.ytimg.com/vi/jgfVynauFpE/default.jpg</v>
      </c>
      <c r="G994" s="67"/>
      <c r="H994" s="71"/>
      <c r="I994" s="72"/>
      <c r="J994" s="72"/>
      <c r="K994" s="71" t="s">
        <v>2222</v>
      </c>
      <c r="L994" s="75"/>
      <c r="M994" s="76">
        <v>6333.9697265625</v>
      </c>
      <c r="N994" s="76">
        <v>821.2230224609375</v>
      </c>
      <c r="O994" s="77"/>
      <c r="P994" s="78"/>
      <c r="Q994" s="78"/>
      <c r="R994" s="82"/>
      <c r="S994" s="82"/>
      <c r="T994" s="82"/>
      <c r="U994" s="82"/>
      <c r="V994" s="52"/>
      <c r="W994" s="52"/>
      <c r="X994" s="52"/>
      <c r="Y994" s="52"/>
      <c r="Z994" s="51"/>
      <c r="AA994" s="73">
        <v>994</v>
      </c>
      <c r="AB994" s="73"/>
      <c r="AC994" s="74"/>
      <c r="AD994" s="80" t="s">
        <v>2222</v>
      </c>
      <c r="AE994" s="80" t="s">
        <v>3119</v>
      </c>
      <c r="AF994" s="80" t="s">
        <v>3810</v>
      </c>
      <c r="AG994" s="80" t="s">
        <v>3884</v>
      </c>
      <c r="AH994" s="80" t="s">
        <v>5547</v>
      </c>
      <c r="AI994" s="80">
        <v>29697</v>
      </c>
      <c r="AJ994" s="80">
        <v>8</v>
      </c>
      <c r="AK994" s="80">
        <v>428</v>
      </c>
      <c r="AL994" s="80">
        <v>25</v>
      </c>
      <c r="AM994" s="80" t="s">
        <v>5614</v>
      </c>
      <c r="AN994" s="102" t="str">
        <f>HYPERLINK("https://www.youtube.com/watch?v=jgfVynauFpE")</f>
        <v>https://www.youtube.com/watch?v=jgfVynauFpE</v>
      </c>
      <c r="AO994" s="2"/>
      <c r="AP994" s="3"/>
      <c r="AQ994" s="3"/>
      <c r="AR994" s="3"/>
      <c r="AS994" s="3"/>
    </row>
    <row r="995" spans="1:45" ht="15">
      <c r="A995" s="66" t="s">
        <v>1170</v>
      </c>
      <c r="B995" s="67"/>
      <c r="C995" s="67"/>
      <c r="D995" s="68"/>
      <c r="E995" s="70"/>
      <c r="F995" s="100" t="str">
        <f>HYPERLINK("https://i.ytimg.com/vi/_X5gPNHR1qQ/default.jpg")</f>
        <v>https://i.ytimg.com/vi/_X5gPNHR1qQ/default.jpg</v>
      </c>
      <c r="G995" s="67"/>
      <c r="H995" s="71"/>
      <c r="I995" s="72"/>
      <c r="J995" s="72"/>
      <c r="K995" s="71" t="s">
        <v>2223</v>
      </c>
      <c r="L995" s="75"/>
      <c r="M995" s="76">
        <v>5400.421875</v>
      </c>
      <c r="N995" s="76">
        <v>687.3218994140625</v>
      </c>
      <c r="O995" s="77"/>
      <c r="P995" s="78"/>
      <c r="Q995" s="78"/>
      <c r="R995" s="82"/>
      <c r="S995" s="82"/>
      <c r="T995" s="82"/>
      <c r="U995" s="82"/>
      <c r="V995" s="52"/>
      <c r="W995" s="52"/>
      <c r="X995" s="52"/>
      <c r="Y995" s="52"/>
      <c r="Z995" s="51"/>
      <c r="AA995" s="73">
        <v>995</v>
      </c>
      <c r="AB995" s="73"/>
      <c r="AC995" s="74"/>
      <c r="AD995" s="80" t="s">
        <v>2223</v>
      </c>
      <c r="AE995" s="80" t="s">
        <v>3119</v>
      </c>
      <c r="AF995" s="80" t="s">
        <v>3811</v>
      </c>
      <c r="AG995" s="80" t="s">
        <v>3884</v>
      </c>
      <c r="AH995" s="80" t="s">
        <v>5548</v>
      </c>
      <c r="AI995" s="80">
        <v>532921</v>
      </c>
      <c r="AJ995" s="80">
        <v>129</v>
      </c>
      <c r="AK995" s="80">
        <v>4712</v>
      </c>
      <c r="AL995" s="80">
        <v>1320</v>
      </c>
      <c r="AM995" s="80" t="s">
        <v>5614</v>
      </c>
      <c r="AN995" s="102" t="str">
        <f>HYPERLINK("https://www.youtube.com/watch?v=_X5gPNHR1qQ")</f>
        <v>https://www.youtube.com/watch?v=_X5gPNHR1qQ</v>
      </c>
      <c r="AO995" s="2"/>
      <c r="AP995" s="3"/>
      <c r="AQ995" s="3"/>
      <c r="AR995" s="3"/>
      <c r="AS995" s="3"/>
    </row>
    <row r="996" spans="1:45" ht="15">
      <c r="A996" s="66" t="s">
        <v>1171</v>
      </c>
      <c r="B996" s="67"/>
      <c r="C996" s="67"/>
      <c r="D996" s="68"/>
      <c r="E996" s="70"/>
      <c r="F996" s="100" t="str">
        <f>HYPERLINK("https://i.ytimg.com/vi/VG7moZoiwVY/default.jpg")</f>
        <v>https://i.ytimg.com/vi/VG7moZoiwVY/default.jpg</v>
      </c>
      <c r="G996" s="67"/>
      <c r="H996" s="71"/>
      <c r="I996" s="72"/>
      <c r="J996" s="72"/>
      <c r="K996" s="71" t="s">
        <v>2224</v>
      </c>
      <c r="L996" s="75"/>
      <c r="M996" s="76">
        <v>6401.4501953125</v>
      </c>
      <c r="N996" s="76">
        <v>752.4703979492188</v>
      </c>
      <c r="O996" s="77"/>
      <c r="P996" s="78"/>
      <c r="Q996" s="78"/>
      <c r="R996" s="82"/>
      <c r="S996" s="82"/>
      <c r="T996" s="82"/>
      <c r="U996" s="82"/>
      <c r="V996" s="52"/>
      <c r="W996" s="52"/>
      <c r="X996" s="52"/>
      <c r="Y996" s="52"/>
      <c r="Z996" s="51"/>
      <c r="AA996" s="73">
        <v>996</v>
      </c>
      <c r="AB996" s="73"/>
      <c r="AC996" s="74"/>
      <c r="AD996" s="80" t="s">
        <v>2224</v>
      </c>
      <c r="AE996" s="80" t="s">
        <v>3119</v>
      </c>
      <c r="AF996" s="80" t="s">
        <v>3812</v>
      </c>
      <c r="AG996" s="80" t="s">
        <v>3884</v>
      </c>
      <c r="AH996" s="80" t="s">
        <v>5549</v>
      </c>
      <c r="AI996" s="80">
        <v>15854</v>
      </c>
      <c r="AJ996" s="80">
        <v>7</v>
      </c>
      <c r="AK996" s="80">
        <v>254</v>
      </c>
      <c r="AL996" s="80">
        <v>1</v>
      </c>
      <c r="AM996" s="80" t="s">
        <v>5614</v>
      </c>
      <c r="AN996" s="102" t="str">
        <f>HYPERLINK("https://www.youtube.com/watch?v=VG7moZoiwVY")</f>
        <v>https://www.youtube.com/watch?v=VG7moZoiwVY</v>
      </c>
      <c r="AO996" s="2"/>
      <c r="AP996" s="3"/>
      <c r="AQ996" s="3"/>
      <c r="AR996" s="3"/>
      <c r="AS996" s="3"/>
    </row>
    <row r="997" spans="1:45" ht="15">
      <c r="A997" s="66" t="s">
        <v>1172</v>
      </c>
      <c r="B997" s="67"/>
      <c r="C997" s="67"/>
      <c r="D997" s="68"/>
      <c r="E997" s="70"/>
      <c r="F997" s="100" t="str">
        <f>HYPERLINK("https://i.ytimg.com/vi/8FwCUCquFsE/default.jpg")</f>
        <v>https://i.ytimg.com/vi/8FwCUCquFsE/default.jpg</v>
      </c>
      <c r="G997" s="67"/>
      <c r="H997" s="71"/>
      <c r="I997" s="72"/>
      <c r="J997" s="72"/>
      <c r="K997" s="71" t="s">
        <v>2225</v>
      </c>
      <c r="L997" s="75"/>
      <c r="M997" s="76">
        <v>5340.197265625</v>
      </c>
      <c r="N997" s="76">
        <v>622.5039672851562</v>
      </c>
      <c r="O997" s="77"/>
      <c r="P997" s="78"/>
      <c r="Q997" s="78"/>
      <c r="R997" s="82"/>
      <c r="S997" s="82"/>
      <c r="T997" s="82"/>
      <c r="U997" s="82"/>
      <c r="V997" s="52"/>
      <c r="W997" s="52"/>
      <c r="X997" s="52"/>
      <c r="Y997" s="52"/>
      <c r="Z997" s="51"/>
      <c r="AA997" s="73">
        <v>997</v>
      </c>
      <c r="AB997" s="73"/>
      <c r="AC997" s="74"/>
      <c r="AD997" s="80" t="s">
        <v>2225</v>
      </c>
      <c r="AE997" s="80" t="s">
        <v>3124</v>
      </c>
      <c r="AF997" s="80" t="s">
        <v>3813</v>
      </c>
      <c r="AG997" s="80" t="s">
        <v>3884</v>
      </c>
      <c r="AH997" s="80" t="s">
        <v>5550</v>
      </c>
      <c r="AI997" s="80">
        <v>14780</v>
      </c>
      <c r="AJ997" s="80">
        <v>11</v>
      </c>
      <c r="AK997" s="80">
        <v>89</v>
      </c>
      <c r="AL997" s="80">
        <v>8</v>
      </c>
      <c r="AM997" s="80" t="s">
        <v>5614</v>
      </c>
      <c r="AN997" s="102" t="str">
        <f>HYPERLINK("https://www.youtube.com/watch?v=8FwCUCquFsE")</f>
        <v>https://www.youtube.com/watch?v=8FwCUCquFsE</v>
      </c>
      <c r="AO997" s="2"/>
      <c r="AP997" s="3"/>
      <c r="AQ997" s="3"/>
      <c r="AR997" s="3"/>
      <c r="AS997" s="3"/>
    </row>
    <row r="998" spans="1:45" ht="15">
      <c r="A998" s="66" t="s">
        <v>1173</v>
      </c>
      <c r="B998" s="67"/>
      <c r="C998" s="67"/>
      <c r="D998" s="68"/>
      <c r="E998" s="70"/>
      <c r="F998" s="100" t="str">
        <f>HYPERLINK("https://i.ytimg.com/vi/7LBGJHM4xWo/default.jpg")</f>
        <v>https://i.ytimg.com/vi/7LBGJHM4xWo/default.jpg</v>
      </c>
      <c r="G998" s="67"/>
      <c r="H998" s="71"/>
      <c r="I998" s="72"/>
      <c r="J998" s="72"/>
      <c r="K998" s="71" t="s">
        <v>2226</v>
      </c>
      <c r="L998" s="75"/>
      <c r="M998" s="76">
        <v>6532.15283203125</v>
      </c>
      <c r="N998" s="76">
        <v>861.8184204101562</v>
      </c>
      <c r="O998" s="77"/>
      <c r="P998" s="78"/>
      <c r="Q998" s="78"/>
      <c r="R998" s="82"/>
      <c r="S998" s="82"/>
      <c r="T998" s="82"/>
      <c r="U998" s="82"/>
      <c r="V998" s="52"/>
      <c r="W998" s="52"/>
      <c r="X998" s="52"/>
      <c r="Y998" s="52"/>
      <c r="Z998" s="51"/>
      <c r="AA998" s="73">
        <v>998</v>
      </c>
      <c r="AB998" s="73"/>
      <c r="AC998" s="74"/>
      <c r="AD998" s="80" t="s">
        <v>2226</v>
      </c>
      <c r="AE998" s="80" t="s">
        <v>3125</v>
      </c>
      <c r="AF998" s="80" t="s">
        <v>3814</v>
      </c>
      <c r="AG998" s="80" t="s">
        <v>3884</v>
      </c>
      <c r="AH998" s="80" t="s">
        <v>5551</v>
      </c>
      <c r="AI998" s="80">
        <v>443925</v>
      </c>
      <c r="AJ998" s="80">
        <v>144</v>
      </c>
      <c r="AK998" s="80">
        <v>4325</v>
      </c>
      <c r="AL998" s="80">
        <v>144</v>
      </c>
      <c r="AM998" s="80" t="s">
        <v>5614</v>
      </c>
      <c r="AN998" s="102" t="str">
        <f>HYPERLINK("https://www.youtube.com/watch?v=7LBGJHM4xWo")</f>
        <v>https://www.youtube.com/watch?v=7LBGJHM4xWo</v>
      </c>
      <c r="AO998" s="2"/>
      <c r="AP998" s="3"/>
      <c r="AQ998" s="3"/>
      <c r="AR998" s="3"/>
      <c r="AS998" s="3"/>
    </row>
    <row r="999" spans="1:45" ht="15">
      <c r="A999" s="66" t="s">
        <v>1174</v>
      </c>
      <c r="B999" s="67"/>
      <c r="C999" s="67"/>
      <c r="D999" s="68"/>
      <c r="E999" s="70"/>
      <c r="F999" s="100" t="str">
        <f>HYPERLINK("https://i.ytimg.com/vi/GABFYH58D-A/default.jpg")</f>
        <v>https://i.ytimg.com/vi/GABFYH58D-A/default.jpg</v>
      </c>
      <c r="G999" s="67"/>
      <c r="H999" s="71"/>
      <c r="I999" s="72"/>
      <c r="J999" s="72"/>
      <c r="K999" s="71" t="s">
        <v>2227</v>
      </c>
      <c r="L999" s="75"/>
      <c r="M999" s="76">
        <v>5894.77294921875</v>
      </c>
      <c r="N999" s="76">
        <v>851.6663818359375</v>
      </c>
      <c r="O999" s="77"/>
      <c r="P999" s="78"/>
      <c r="Q999" s="78"/>
      <c r="R999" s="82"/>
      <c r="S999" s="82"/>
      <c r="T999" s="82"/>
      <c r="U999" s="82"/>
      <c r="V999" s="52"/>
      <c r="W999" s="52"/>
      <c r="X999" s="52"/>
      <c r="Y999" s="52"/>
      <c r="Z999" s="51"/>
      <c r="AA999" s="73">
        <v>999</v>
      </c>
      <c r="AB999" s="73"/>
      <c r="AC999" s="74"/>
      <c r="AD999" s="80" t="s">
        <v>2227</v>
      </c>
      <c r="AE999" s="80" t="s">
        <v>3119</v>
      </c>
      <c r="AF999" s="80" t="s">
        <v>3815</v>
      </c>
      <c r="AG999" s="80" t="s">
        <v>3884</v>
      </c>
      <c r="AH999" s="80" t="s">
        <v>5552</v>
      </c>
      <c r="AI999" s="80">
        <v>445149</v>
      </c>
      <c r="AJ999" s="80">
        <v>216</v>
      </c>
      <c r="AK999" s="80">
        <v>3297</v>
      </c>
      <c r="AL999" s="80">
        <v>446</v>
      </c>
      <c r="AM999" s="80" t="s">
        <v>5614</v>
      </c>
      <c r="AN999" s="102" t="str">
        <f>HYPERLINK("https://www.youtube.com/watch?v=GABFYH58D-A")</f>
        <v>https://www.youtube.com/watch?v=GABFYH58D-A</v>
      </c>
      <c r="AO999" s="2"/>
      <c r="AP999" s="3"/>
      <c r="AQ999" s="3"/>
      <c r="AR999" s="3"/>
      <c r="AS999" s="3"/>
    </row>
    <row r="1000" spans="1:45" ht="15">
      <c r="A1000" s="66" t="s">
        <v>1175</v>
      </c>
      <c r="B1000" s="67"/>
      <c r="C1000" s="67"/>
      <c r="D1000" s="68"/>
      <c r="E1000" s="70"/>
      <c r="F1000" s="100" t="str">
        <f>HYPERLINK("https://i.ytimg.com/vi/L51h8BBu7b8/default.jpg")</f>
        <v>https://i.ytimg.com/vi/L51h8BBu7b8/default.jpg</v>
      </c>
      <c r="G1000" s="67"/>
      <c r="H1000" s="71"/>
      <c r="I1000" s="72"/>
      <c r="J1000" s="72"/>
      <c r="K1000" s="71" t="s">
        <v>2228</v>
      </c>
      <c r="L1000" s="75"/>
      <c r="M1000" s="76">
        <v>6118.62939453125</v>
      </c>
      <c r="N1000" s="76">
        <v>704.015869140625</v>
      </c>
      <c r="O1000" s="77"/>
      <c r="P1000" s="78"/>
      <c r="Q1000" s="78"/>
      <c r="R1000" s="82"/>
      <c r="S1000" s="82"/>
      <c r="T1000" s="82"/>
      <c r="U1000" s="82"/>
      <c r="V1000" s="52"/>
      <c r="W1000" s="52"/>
      <c r="X1000" s="52"/>
      <c r="Y1000" s="52"/>
      <c r="Z1000" s="51"/>
      <c r="AA1000" s="73">
        <v>1000</v>
      </c>
      <c r="AB1000" s="73"/>
      <c r="AC1000" s="74"/>
      <c r="AD1000" s="80" t="s">
        <v>2228</v>
      </c>
      <c r="AE1000" s="80" t="s">
        <v>3126</v>
      </c>
      <c r="AF1000" s="80" t="s">
        <v>3816</v>
      </c>
      <c r="AG1000" s="80" t="s">
        <v>3884</v>
      </c>
      <c r="AH1000" s="80" t="s">
        <v>5553</v>
      </c>
      <c r="AI1000" s="80">
        <v>3343796</v>
      </c>
      <c r="AJ1000" s="80">
        <v>1591</v>
      </c>
      <c r="AK1000" s="80">
        <v>49862</v>
      </c>
      <c r="AL1000" s="80">
        <v>2357</v>
      </c>
      <c r="AM1000" s="80" t="s">
        <v>5614</v>
      </c>
      <c r="AN1000" s="102" t="str">
        <f>HYPERLINK("https://www.youtube.com/watch?v=L51h8BBu7b8")</f>
        <v>https://www.youtube.com/watch?v=L51h8BBu7b8</v>
      </c>
      <c r="AO1000" s="2"/>
      <c r="AP1000" s="3"/>
      <c r="AQ1000" s="3"/>
      <c r="AR1000" s="3"/>
      <c r="AS1000" s="3"/>
    </row>
    <row r="1001" spans="1:45" ht="15">
      <c r="A1001" s="66" t="s">
        <v>1176</v>
      </c>
      <c r="B1001" s="67"/>
      <c r="C1001" s="67"/>
      <c r="D1001" s="68"/>
      <c r="E1001" s="70"/>
      <c r="F1001" s="100" t="str">
        <f>HYPERLINK("https://i.ytimg.com/vi/tLteWutitFM/default.jpg")</f>
        <v>https://i.ytimg.com/vi/tLteWutitFM/default.jpg</v>
      </c>
      <c r="G1001" s="67"/>
      <c r="H1001" s="71"/>
      <c r="I1001" s="72"/>
      <c r="J1001" s="72"/>
      <c r="K1001" s="71" t="s">
        <v>2229</v>
      </c>
      <c r="L1001" s="75"/>
      <c r="M1001" s="76">
        <v>5721.7900390625</v>
      </c>
      <c r="N1001" s="76">
        <v>754.915771484375</v>
      </c>
      <c r="O1001" s="77"/>
      <c r="P1001" s="78"/>
      <c r="Q1001" s="78"/>
      <c r="R1001" s="82"/>
      <c r="S1001" s="82"/>
      <c r="T1001" s="82"/>
      <c r="U1001" s="82"/>
      <c r="V1001" s="52"/>
      <c r="W1001" s="52"/>
      <c r="X1001" s="52"/>
      <c r="Y1001" s="52"/>
      <c r="Z1001" s="51"/>
      <c r="AA1001" s="73">
        <v>1001</v>
      </c>
      <c r="AB1001" s="73"/>
      <c r="AC1001" s="74"/>
      <c r="AD1001" s="80" t="s">
        <v>2229</v>
      </c>
      <c r="AE1001" s="80" t="s">
        <v>3127</v>
      </c>
      <c r="AF1001" s="80" t="s">
        <v>3817</v>
      </c>
      <c r="AG1001" s="80" t="s">
        <v>3884</v>
      </c>
      <c r="AH1001" s="80" t="s">
        <v>5554</v>
      </c>
      <c r="AI1001" s="80">
        <v>1020022</v>
      </c>
      <c r="AJ1001" s="80">
        <v>1169</v>
      </c>
      <c r="AK1001" s="80">
        <v>24307</v>
      </c>
      <c r="AL1001" s="80">
        <v>478</v>
      </c>
      <c r="AM1001" s="80" t="s">
        <v>5614</v>
      </c>
      <c r="AN1001" s="102" t="str">
        <f>HYPERLINK("https://www.youtube.com/watch?v=tLteWutitFM")</f>
        <v>https://www.youtube.com/watch?v=tLteWutitFM</v>
      </c>
      <c r="AO1001" s="2"/>
      <c r="AP1001" s="3"/>
      <c r="AQ1001" s="3"/>
      <c r="AR1001" s="3"/>
      <c r="AS1001" s="3"/>
    </row>
    <row r="1002" spans="1:45" ht="15">
      <c r="A1002" s="66" t="s">
        <v>1177</v>
      </c>
      <c r="B1002" s="67"/>
      <c r="C1002" s="67"/>
      <c r="D1002" s="68"/>
      <c r="E1002" s="70"/>
      <c r="F1002" s="100" t="str">
        <f>HYPERLINK("https://i.ytimg.com/vi/a0Ycxn-bZak/default.jpg")</f>
        <v>https://i.ytimg.com/vi/a0Ycxn-bZak/default.jpg</v>
      </c>
      <c r="G1002" s="67"/>
      <c r="H1002" s="71"/>
      <c r="I1002" s="72"/>
      <c r="J1002" s="72"/>
      <c r="K1002" s="71" t="s">
        <v>2230</v>
      </c>
      <c r="L1002" s="75"/>
      <c r="M1002" s="76">
        <v>5966.7216796875</v>
      </c>
      <c r="N1002" s="76">
        <v>815.9550170898438</v>
      </c>
      <c r="O1002" s="77"/>
      <c r="P1002" s="78"/>
      <c r="Q1002" s="78"/>
      <c r="R1002" s="82"/>
      <c r="S1002" s="82"/>
      <c r="T1002" s="82"/>
      <c r="U1002" s="82"/>
      <c r="V1002" s="52"/>
      <c r="W1002" s="52"/>
      <c r="X1002" s="52"/>
      <c r="Y1002" s="52"/>
      <c r="Z1002" s="51"/>
      <c r="AA1002" s="73">
        <v>1002</v>
      </c>
      <c r="AB1002" s="73"/>
      <c r="AC1002" s="74"/>
      <c r="AD1002" s="80" t="s">
        <v>2230</v>
      </c>
      <c r="AE1002" s="80" t="s">
        <v>3128</v>
      </c>
      <c r="AF1002" s="80" t="s">
        <v>3818</v>
      </c>
      <c r="AG1002" s="80" t="s">
        <v>3884</v>
      </c>
      <c r="AH1002" s="80" t="s">
        <v>5555</v>
      </c>
      <c r="AI1002" s="80">
        <v>435947</v>
      </c>
      <c r="AJ1002" s="80">
        <v>339</v>
      </c>
      <c r="AK1002" s="80">
        <v>6642</v>
      </c>
      <c r="AL1002" s="80">
        <v>363</v>
      </c>
      <c r="AM1002" s="80" t="s">
        <v>5614</v>
      </c>
      <c r="AN1002" s="102" t="str">
        <f>HYPERLINK("https://www.youtube.com/watch?v=a0Ycxn-bZak")</f>
        <v>https://www.youtube.com/watch?v=a0Ycxn-bZak</v>
      </c>
      <c r="AO1002" s="2"/>
      <c r="AP1002" s="3"/>
      <c r="AQ1002" s="3"/>
      <c r="AR1002" s="3"/>
      <c r="AS1002" s="3"/>
    </row>
    <row r="1003" spans="1:45" ht="15">
      <c r="A1003" s="66" t="s">
        <v>1178</v>
      </c>
      <c r="B1003" s="67"/>
      <c r="C1003" s="67"/>
      <c r="D1003" s="68"/>
      <c r="E1003" s="70"/>
      <c r="F1003" s="100" t="str">
        <f>HYPERLINK("https://i.ytimg.com/vi/j0byOQUUglc/default.jpg")</f>
        <v>https://i.ytimg.com/vi/j0byOQUUglc/default.jpg</v>
      </c>
      <c r="G1003" s="67"/>
      <c r="H1003" s="71"/>
      <c r="I1003" s="72"/>
      <c r="J1003" s="72"/>
      <c r="K1003" s="71" t="s">
        <v>2231</v>
      </c>
      <c r="L1003" s="75"/>
      <c r="M1003" s="76">
        <v>5285.22265625</v>
      </c>
      <c r="N1003" s="76">
        <v>721.888916015625</v>
      </c>
      <c r="O1003" s="77"/>
      <c r="P1003" s="78"/>
      <c r="Q1003" s="78"/>
      <c r="R1003" s="82"/>
      <c r="S1003" s="82"/>
      <c r="T1003" s="82"/>
      <c r="U1003" s="82"/>
      <c r="V1003" s="52"/>
      <c r="W1003" s="52"/>
      <c r="X1003" s="52"/>
      <c r="Y1003" s="52"/>
      <c r="Z1003" s="51"/>
      <c r="AA1003" s="73">
        <v>1003</v>
      </c>
      <c r="AB1003" s="73"/>
      <c r="AC1003" s="74"/>
      <c r="AD1003" s="80" t="s">
        <v>2231</v>
      </c>
      <c r="AE1003" s="80" t="s">
        <v>3129</v>
      </c>
      <c r="AF1003" s="80" t="s">
        <v>3819</v>
      </c>
      <c r="AG1003" s="80" t="s">
        <v>3884</v>
      </c>
      <c r="AH1003" s="80" t="s">
        <v>5556</v>
      </c>
      <c r="AI1003" s="80">
        <v>97058</v>
      </c>
      <c r="AJ1003" s="80">
        <v>7</v>
      </c>
      <c r="AK1003" s="80">
        <v>974</v>
      </c>
      <c r="AL1003" s="80">
        <v>54</v>
      </c>
      <c r="AM1003" s="80" t="s">
        <v>5614</v>
      </c>
      <c r="AN1003" s="102" t="str">
        <f>HYPERLINK("https://www.youtube.com/watch?v=j0byOQUUglc")</f>
        <v>https://www.youtube.com/watch?v=j0byOQUUglc</v>
      </c>
      <c r="AO1003" s="2"/>
      <c r="AP1003" s="3"/>
      <c r="AQ1003" s="3"/>
      <c r="AR1003" s="3"/>
      <c r="AS1003" s="3"/>
    </row>
    <row r="1004" spans="1:45" ht="15">
      <c r="A1004" s="66" t="s">
        <v>1179</v>
      </c>
      <c r="B1004" s="67"/>
      <c r="C1004" s="67"/>
      <c r="D1004" s="68"/>
      <c r="E1004" s="70"/>
      <c r="F1004" s="100" t="str">
        <f>HYPERLINK("https://i.ytimg.com/vi/AdKUJxjn-R8/default.jpg")</f>
        <v>https://i.ytimg.com/vi/AdKUJxjn-R8/default.jpg</v>
      </c>
      <c r="G1004" s="67"/>
      <c r="H1004" s="71"/>
      <c r="I1004" s="72"/>
      <c r="J1004" s="72"/>
      <c r="K1004" s="71" t="s">
        <v>2232</v>
      </c>
      <c r="L1004" s="75"/>
      <c r="M1004" s="76">
        <v>6346.55078125</v>
      </c>
      <c r="N1004" s="76">
        <v>647.3631591796875</v>
      </c>
      <c r="O1004" s="77"/>
      <c r="P1004" s="78"/>
      <c r="Q1004" s="78"/>
      <c r="R1004" s="82"/>
      <c r="S1004" s="82"/>
      <c r="T1004" s="82"/>
      <c r="U1004" s="82"/>
      <c r="V1004" s="52"/>
      <c r="W1004" s="52"/>
      <c r="X1004" s="52"/>
      <c r="Y1004" s="52"/>
      <c r="Z1004" s="51"/>
      <c r="AA1004" s="73">
        <v>1004</v>
      </c>
      <c r="AB1004" s="73"/>
      <c r="AC1004" s="74"/>
      <c r="AD1004" s="80" t="s">
        <v>2232</v>
      </c>
      <c r="AE1004" s="80" t="s">
        <v>3130</v>
      </c>
      <c r="AF1004" s="80" t="s">
        <v>3820</v>
      </c>
      <c r="AG1004" s="80" t="s">
        <v>3884</v>
      </c>
      <c r="AH1004" s="80" t="s">
        <v>5557</v>
      </c>
      <c r="AI1004" s="80">
        <v>1798265</v>
      </c>
      <c r="AJ1004" s="80">
        <v>633</v>
      </c>
      <c r="AK1004" s="80">
        <v>22828</v>
      </c>
      <c r="AL1004" s="80">
        <v>675</v>
      </c>
      <c r="AM1004" s="80" t="s">
        <v>5614</v>
      </c>
      <c r="AN1004" s="102" t="str">
        <f>HYPERLINK("https://www.youtube.com/watch?v=AdKUJxjn-R8")</f>
        <v>https://www.youtube.com/watch?v=AdKUJxjn-R8</v>
      </c>
      <c r="AO1004" s="2"/>
      <c r="AP1004" s="3"/>
      <c r="AQ1004" s="3"/>
      <c r="AR1004" s="3"/>
      <c r="AS1004" s="3"/>
    </row>
    <row r="1005" spans="1:45" ht="15">
      <c r="A1005" s="66" t="s">
        <v>1180</v>
      </c>
      <c r="B1005" s="67"/>
      <c r="C1005" s="67"/>
      <c r="D1005" s="68"/>
      <c r="E1005" s="70"/>
      <c r="F1005" s="100" t="str">
        <f>HYPERLINK("https://i.ytimg.com/vi/IuiNKNta9BM/default.jpg")</f>
        <v>https://i.ytimg.com/vi/IuiNKNta9BM/default.jpg</v>
      </c>
      <c r="G1005" s="67"/>
      <c r="H1005" s="71"/>
      <c r="I1005" s="72"/>
      <c r="J1005" s="72"/>
      <c r="K1005" s="71" t="s">
        <v>2233</v>
      </c>
      <c r="L1005" s="75"/>
      <c r="M1005" s="76">
        <v>6172.53076171875</v>
      </c>
      <c r="N1005" s="76">
        <v>607.840087890625</v>
      </c>
      <c r="O1005" s="77"/>
      <c r="P1005" s="78"/>
      <c r="Q1005" s="78"/>
      <c r="R1005" s="82"/>
      <c r="S1005" s="82"/>
      <c r="T1005" s="82"/>
      <c r="U1005" s="82"/>
      <c r="V1005" s="52"/>
      <c r="W1005" s="52"/>
      <c r="X1005" s="52"/>
      <c r="Y1005" s="52"/>
      <c r="Z1005" s="51"/>
      <c r="AA1005" s="73">
        <v>1005</v>
      </c>
      <c r="AB1005" s="73"/>
      <c r="AC1005" s="74"/>
      <c r="AD1005" s="80" t="s">
        <v>2233</v>
      </c>
      <c r="AE1005" s="80" t="s">
        <v>3119</v>
      </c>
      <c r="AF1005" s="80" t="s">
        <v>3821</v>
      </c>
      <c r="AG1005" s="80" t="s">
        <v>3884</v>
      </c>
      <c r="AH1005" s="80" t="s">
        <v>5558</v>
      </c>
      <c r="AI1005" s="80">
        <v>33034</v>
      </c>
      <c r="AJ1005" s="80">
        <v>16</v>
      </c>
      <c r="AK1005" s="80">
        <v>380</v>
      </c>
      <c r="AL1005" s="80">
        <v>19</v>
      </c>
      <c r="AM1005" s="80" t="s">
        <v>5614</v>
      </c>
      <c r="AN1005" s="102" t="str">
        <f>HYPERLINK("https://www.youtube.com/watch?v=IuiNKNta9BM")</f>
        <v>https://www.youtube.com/watch?v=IuiNKNta9BM</v>
      </c>
      <c r="AO1005" s="2"/>
      <c r="AP1005" s="3"/>
      <c r="AQ1005" s="3"/>
      <c r="AR1005" s="3"/>
      <c r="AS1005" s="3"/>
    </row>
    <row r="1006" spans="1:45" ht="15">
      <c r="A1006" s="66" t="s">
        <v>1181</v>
      </c>
      <c r="B1006" s="67"/>
      <c r="C1006" s="67"/>
      <c r="D1006" s="68"/>
      <c r="E1006" s="70"/>
      <c r="F1006" s="100" t="str">
        <f>HYPERLINK("https://i.ytimg.com/vi/VoyNEhER0sg/default.jpg")</f>
        <v>https://i.ytimg.com/vi/VoyNEhER0sg/default.jpg</v>
      </c>
      <c r="G1006" s="67"/>
      <c r="H1006" s="71"/>
      <c r="I1006" s="72"/>
      <c r="J1006" s="72"/>
      <c r="K1006" s="71" t="s">
        <v>2234</v>
      </c>
      <c r="L1006" s="75"/>
      <c r="M1006" s="76">
        <v>6580.95458984375</v>
      </c>
      <c r="N1006" s="76">
        <v>782.226318359375</v>
      </c>
      <c r="O1006" s="77"/>
      <c r="P1006" s="78"/>
      <c r="Q1006" s="78"/>
      <c r="R1006" s="82"/>
      <c r="S1006" s="82"/>
      <c r="T1006" s="82"/>
      <c r="U1006" s="82"/>
      <c r="V1006" s="52"/>
      <c r="W1006" s="52"/>
      <c r="X1006" s="52"/>
      <c r="Y1006" s="52"/>
      <c r="Z1006" s="51"/>
      <c r="AA1006" s="73">
        <v>1006</v>
      </c>
      <c r="AB1006" s="73"/>
      <c r="AC1006" s="74"/>
      <c r="AD1006" s="80" t="s">
        <v>2234</v>
      </c>
      <c r="AE1006" s="80" t="s">
        <v>3119</v>
      </c>
      <c r="AF1006" s="80" t="s">
        <v>3822</v>
      </c>
      <c r="AG1006" s="80" t="s">
        <v>3884</v>
      </c>
      <c r="AH1006" s="80" t="s">
        <v>5559</v>
      </c>
      <c r="AI1006" s="80">
        <v>4958</v>
      </c>
      <c r="AJ1006" s="80">
        <v>2</v>
      </c>
      <c r="AK1006" s="80">
        <v>110</v>
      </c>
      <c r="AL1006" s="80">
        <v>0</v>
      </c>
      <c r="AM1006" s="80" t="s">
        <v>5614</v>
      </c>
      <c r="AN1006" s="102" t="str">
        <f>HYPERLINK("https://www.youtube.com/watch?v=VoyNEhER0sg")</f>
        <v>https://www.youtube.com/watch?v=VoyNEhER0sg</v>
      </c>
      <c r="AO1006" s="2"/>
      <c r="AP1006" s="3"/>
      <c r="AQ1006" s="3"/>
      <c r="AR1006" s="3"/>
      <c r="AS1006" s="3"/>
    </row>
    <row r="1007" spans="1:45" ht="15">
      <c r="A1007" s="66" t="s">
        <v>1182</v>
      </c>
      <c r="B1007" s="67"/>
      <c r="C1007" s="67"/>
      <c r="D1007" s="68"/>
      <c r="E1007" s="70"/>
      <c r="F1007" s="100" t="str">
        <f>HYPERLINK("https://i.ytimg.com/vi/f09ybYDJoSE/default.jpg")</f>
        <v>https://i.ytimg.com/vi/f09ybYDJoSE/default.jpg</v>
      </c>
      <c r="G1007" s="67"/>
      <c r="H1007" s="71"/>
      <c r="I1007" s="72"/>
      <c r="J1007" s="72"/>
      <c r="K1007" s="71" t="s">
        <v>2235</v>
      </c>
      <c r="L1007" s="75"/>
      <c r="M1007" s="76">
        <v>5945.67236328125</v>
      </c>
      <c r="N1007" s="76">
        <v>566.6395263671875</v>
      </c>
      <c r="O1007" s="77"/>
      <c r="P1007" s="78"/>
      <c r="Q1007" s="78"/>
      <c r="R1007" s="82"/>
      <c r="S1007" s="82"/>
      <c r="T1007" s="82"/>
      <c r="U1007" s="82"/>
      <c r="V1007" s="52"/>
      <c r="W1007" s="52"/>
      <c r="X1007" s="52"/>
      <c r="Y1007" s="52"/>
      <c r="Z1007" s="51"/>
      <c r="AA1007" s="73">
        <v>1007</v>
      </c>
      <c r="AB1007" s="73"/>
      <c r="AC1007" s="74"/>
      <c r="AD1007" s="80" t="s">
        <v>2235</v>
      </c>
      <c r="AE1007" s="80" t="s">
        <v>3131</v>
      </c>
      <c r="AF1007" s="80" t="s">
        <v>3823</v>
      </c>
      <c r="AG1007" s="80" t="s">
        <v>3884</v>
      </c>
      <c r="AH1007" s="80" t="s">
        <v>5560</v>
      </c>
      <c r="AI1007" s="80">
        <v>14363</v>
      </c>
      <c r="AJ1007" s="80">
        <v>2</v>
      </c>
      <c r="AK1007" s="80">
        <v>81</v>
      </c>
      <c r="AL1007" s="80">
        <v>2</v>
      </c>
      <c r="AM1007" s="80" t="s">
        <v>5614</v>
      </c>
      <c r="AN1007" s="102" t="str">
        <f>HYPERLINK("https://www.youtube.com/watch?v=f09ybYDJoSE")</f>
        <v>https://www.youtube.com/watch?v=f09ybYDJoSE</v>
      </c>
      <c r="AO1007" s="2"/>
      <c r="AP1007" s="3"/>
      <c r="AQ1007" s="3"/>
      <c r="AR1007" s="3"/>
      <c r="AS1007" s="3"/>
    </row>
    <row r="1008" spans="1:45" ht="15">
      <c r="A1008" s="66" t="s">
        <v>1183</v>
      </c>
      <c r="B1008" s="67"/>
      <c r="C1008" s="67"/>
      <c r="D1008" s="68"/>
      <c r="E1008" s="70"/>
      <c r="F1008" s="100" t="str">
        <f>HYPERLINK("https://i.ytimg.com/vi/iqPIHXU5ChI/default.jpg")</f>
        <v>https://i.ytimg.com/vi/iqPIHXU5ChI/default.jpg</v>
      </c>
      <c r="G1008" s="67"/>
      <c r="H1008" s="71"/>
      <c r="I1008" s="72"/>
      <c r="J1008" s="72"/>
      <c r="K1008" s="71" t="s">
        <v>2236</v>
      </c>
      <c r="L1008" s="75"/>
      <c r="M1008" s="76">
        <v>5449.22216796875</v>
      </c>
      <c r="N1008" s="76">
        <v>830.9512329101562</v>
      </c>
      <c r="O1008" s="77"/>
      <c r="P1008" s="78"/>
      <c r="Q1008" s="78"/>
      <c r="R1008" s="82"/>
      <c r="S1008" s="82"/>
      <c r="T1008" s="82"/>
      <c r="U1008" s="82"/>
      <c r="V1008" s="52"/>
      <c r="W1008" s="52"/>
      <c r="X1008" s="52"/>
      <c r="Y1008" s="52"/>
      <c r="Z1008" s="51"/>
      <c r="AA1008" s="73">
        <v>1008</v>
      </c>
      <c r="AB1008" s="73"/>
      <c r="AC1008" s="74"/>
      <c r="AD1008" s="80" t="s">
        <v>2236</v>
      </c>
      <c r="AE1008" s="80" t="s">
        <v>3132</v>
      </c>
      <c r="AF1008" s="80" t="s">
        <v>3824</v>
      </c>
      <c r="AG1008" s="80" t="s">
        <v>3884</v>
      </c>
      <c r="AH1008" s="80" t="s">
        <v>5561</v>
      </c>
      <c r="AI1008" s="80">
        <v>490457</v>
      </c>
      <c r="AJ1008" s="80">
        <v>222</v>
      </c>
      <c r="AK1008" s="80">
        <v>5153</v>
      </c>
      <c r="AL1008" s="80">
        <v>438</v>
      </c>
      <c r="AM1008" s="80" t="s">
        <v>5614</v>
      </c>
      <c r="AN1008" s="102" t="str">
        <f>HYPERLINK("https://www.youtube.com/watch?v=iqPIHXU5ChI")</f>
        <v>https://www.youtube.com/watch?v=iqPIHXU5ChI</v>
      </c>
      <c r="AO1008" s="2"/>
      <c r="AP1008" s="3"/>
      <c r="AQ1008" s="3"/>
      <c r="AR1008" s="3"/>
      <c r="AS1008" s="3"/>
    </row>
    <row r="1009" spans="1:45" ht="15">
      <c r="A1009" s="66" t="s">
        <v>1184</v>
      </c>
      <c r="B1009" s="67"/>
      <c r="C1009" s="67"/>
      <c r="D1009" s="68"/>
      <c r="E1009" s="70"/>
      <c r="F1009" s="100" t="str">
        <f>HYPERLINK("https://i.ytimg.com/vi/QMu5XLux_GA/default.jpg")</f>
        <v>https://i.ytimg.com/vi/QMu5XLux_GA/default.jpg</v>
      </c>
      <c r="G1009" s="67"/>
      <c r="H1009" s="71"/>
      <c r="I1009" s="72"/>
      <c r="J1009" s="72"/>
      <c r="K1009" s="71" t="s">
        <v>2237</v>
      </c>
      <c r="L1009" s="75"/>
      <c r="M1009" s="76">
        <v>5633.06201171875</v>
      </c>
      <c r="N1009" s="76">
        <v>772.9812622070312</v>
      </c>
      <c r="O1009" s="77"/>
      <c r="P1009" s="78"/>
      <c r="Q1009" s="78"/>
      <c r="R1009" s="82"/>
      <c r="S1009" s="82"/>
      <c r="T1009" s="82"/>
      <c r="U1009" s="82"/>
      <c r="V1009" s="52"/>
      <c r="W1009" s="52"/>
      <c r="X1009" s="52"/>
      <c r="Y1009" s="52"/>
      <c r="Z1009" s="51"/>
      <c r="AA1009" s="73">
        <v>1009</v>
      </c>
      <c r="AB1009" s="73"/>
      <c r="AC1009" s="74"/>
      <c r="AD1009" s="80" t="s">
        <v>2237</v>
      </c>
      <c r="AE1009" s="80" t="s">
        <v>3133</v>
      </c>
      <c r="AF1009" s="80" t="s">
        <v>3825</v>
      </c>
      <c r="AG1009" s="80" t="s">
        <v>3884</v>
      </c>
      <c r="AH1009" s="80" t="s">
        <v>5562</v>
      </c>
      <c r="AI1009" s="80">
        <v>1081225</v>
      </c>
      <c r="AJ1009" s="80">
        <v>454</v>
      </c>
      <c r="AK1009" s="80">
        <v>15518</v>
      </c>
      <c r="AL1009" s="80">
        <v>612</v>
      </c>
      <c r="AM1009" s="80" t="s">
        <v>5614</v>
      </c>
      <c r="AN1009" s="102" t="str">
        <f>HYPERLINK("https://www.youtube.com/watch?v=QMu5XLux_GA")</f>
        <v>https://www.youtube.com/watch?v=QMu5XLux_GA</v>
      </c>
      <c r="AO1009" s="2"/>
      <c r="AP1009" s="3"/>
      <c r="AQ1009" s="3"/>
      <c r="AR1009" s="3"/>
      <c r="AS1009" s="3"/>
    </row>
    <row r="1010" spans="1:45" ht="15">
      <c r="A1010" s="66" t="s">
        <v>1185</v>
      </c>
      <c r="B1010" s="67"/>
      <c r="C1010" s="67"/>
      <c r="D1010" s="68"/>
      <c r="E1010" s="70"/>
      <c r="F1010" s="100" t="str">
        <f>HYPERLINK("https://i.ytimg.com/vi/ta1IEaIS5oU/default.jpg")</f>
        <v>https://i.ytimg.com/vi/ta1IEaIS5oU/default.jpg</v>
      </c>
      <c r="G1010" s="67"/>
      <c r="H1010" s="71"/>
      <c r="I1010" s="72"/>
      <c r="J1010" s="72"/>
      <c r="K1010" s="71" t="s">
        <v>2238</v>
      </c>
      <c r="L1010" s="75"/>
      <c r="M1010" s="76">
        <v>6179.5419921875</v>
      </c>
      <c r="N1010" s="76">
        <v>632.7085571289062</v>
      </c>
      <c r="O1010" s="77"/>
      <c r="P1010" s="78"/>
      <c r="Q1010" s="78"/>
      <c r="R1010" s="82"/>
      <c r="S1010" s="82"/>
      <c r="T1010" s="82"/>
      <c r="U1010" s="82"/>
      <c r="V1010" s="52"/>
      <c r="W1010" s="52"/>
      <c r="X1010" s="52"/>
      <c r="Y1010" s="52"/>
      <c r="Z1010" s="51"/>
      <c r="AA1010" s="73">
        <v>1010</v>
      </c>
      <c r="AB1010" s="73"/>
      <c r="AC1010" s="74"/>
      <c r="AD1010" s="80" t="s">
        <v>2238</v>
      </c>
      <c r="AE1010" s="80" t="s">
        <v>3134</v>
      </c>
      <c r="AF1010" s="80" t="s">
        <v>3826</v>
      </c>
      <c r="AG1010" s="80" t="s">
        <v>3884</v>
      </c>
      <c r="AH1010" s="80" t="s">
        <v>5563</v>
      </c>
      <c r="AI1010" s="80">
        <v>25658</v>
      </c>
      <c r="AJ1010" s="80">
        <v>12</v>
      </c>
      <c r="AK1010" s="80">
        <v>428</v>
      </c>
      <c r="AL1010" s="80">
        <v>22</v>
      </c>
      <c r="AM1010" s="80" t="s">
        <v>5614</v>
      </c>
      <c r="AN1010" s="102" t="str">
        <f>HYPERLINK("https://www.youtube.com/watch?v=ta1IEaIS5oU")</f>
        <v>https://www.youtube.com/watch?v=ta1IEaIS5oU</v>
      </c>
      <c r="AO1010" s="2"/>
      <c r="AP1010" s="3"/>
      <c r="AQ1010" s="3"/>
      <c r="AR1010" s="3"/>
      <c r="AS1010" s="3"/>
    </row>
    <row r="1011" spans="1:45" ht="15">
      <c r="A1011" s="66" t="s">
        <v>1186</v>
      </c>
      <c r="B1011" s="67"/>
      <c r="C1011" s="67"/>
      <c r="D1011" s="68"/>
      <c r="E1011" s="70"/>
      <c r="F1011" s="100" t="str">
        <f>HYPERLINK("https://i.ytimg.com/vi/RSlc9IxdBw8/default.jpg")</f>
        <v>https://i.ytimg.com/vi/RSlc9IxdBw8/default.jpg</v>
      </c>
      <c r="G1011" s="67"/>
      <c r="H1011" s="71"/>
      <c r="I1011" s="72"/>
      <c r="J1011" s="72"/>
      <c r="K1011" s="71" t="s">
        <v>2239</v>
      </c>
      <c r="L1011" s="75"/>
      <c r="M1011" s="76">
        <v>5636.3984375</v>
      </c>
      <c r="N1011" s="76">
        <v>698.0791015625</v>
      </c>
      <c r="O1011" s="77"/>
      <c r="P1011" s="78"/>
      <c r="Q1011" s="78"/>
      <c r="R1011" s="82"/>
      <c r="S1011" s="82"/>
      <c r="T1011" s="82"/>
      <c r="U1011" s="82"/>
      <c r="V1011" s="52"/>
      <c r="W1011" s="52"/>
      <c r="X1011" s="52"/>
      <c r="Y1011" s="52"/>
      <c r="Z1011" s="51"/>
      <c r="AA1011" s="73">
        <v>1011</v>
      </c>
      <c r="AB1011" s="73"/>
      <c r="AC1011" s="74"/>
      <c r="AD1011" s="80" t="s">
        <v>2239</v>
      </c>
      <c r="AE1011" s="80" t="s">
        <v>3135</v>
      </c>
      <c r="AF1011" s="80" t="s">
        <v>3827</v>
      </c>
      <c r="AG1011" s="80" t="s">
        <v>3884</v>
      </c>
      <c r="AH1011" s="80" t="s">
        <v>5564</v>
      </c>
      <c r="AI1011" s="80">
        <v>709108</v>
      </c>
      <c r="AJ1011" s="80">
        <v>331</v>
      </c>
      <c r="AK1011" s="80">
        <v>13084</v>
      </c>
      <c r="AL1011" s="80">
        <v>540</v>
      </c>
      <c r="AM1011" s="80" t="s">
        <v>5614</v>
      </c>
      <c r="AN1011" s="102" t="str">
        <f>HYPERLINK("https://www.youtube.com/watch?v=RSlc9IxdBw8")</f>
        <v>https://www.youtube.com/watch?v=RSlc9IxdBw8</v>
      </c>
      <c r="AO1011" s="2"/>
      <c r="AP1011" s="3"/>
      <c r="AQ1011" s="3"/>
      <c r="AR1011" s="3"/>
      <c r="AS1011" s="3"/>
    </row>
    <row r="1012" spans="1:45" ht="15">
      <c r="A1012" s="66" t="s">
        <v>1187</v>
      </c>
      <c r="B1012" s="67"/>
      <c r="C1012" s="67"/>
      <c r="D1012" s="68"/>
      <c r="E1012" s="70"/>
      <c r="F1012" s="100" t="str">
        <f>HYPERLINK("https://i.ytimg.com/vi/z-h-BhcV7DM/default.jpg")</f>
        <v>https://i.ytimg.com/vi/z-h-BhcV7DM/default.jpg</v>
      </c>
      <c r="G1012" s="67"/>
      <c r="H1012" s="71"/>
      <c r="I1012" s="72"/>
      <c r="J1012" s="72"/>
      <c r="K1012" s="71" t="s">
        <v>2240</v>
      </c>
      <c r="L1012" s="75"/>
      <c r="M1012" s="76">
        <v>6558.115234375</v>
      </c>
      <c r="N1012" s="76">
        <v>925.3250122070312</v>
      </c>
      <c r="O1012" s="77"/>
      <c r="P1012" s="78"/>
      <c r="Q1012" s="78"/>
      <c r="R1012" s="82"/>
      <c r="S1012" s="82"/>
      <c r="T1012" s="82"/>
      <c r="U1012" s="82"/>
      <c r="V1012" s="52"/>
      <c r="W1012" s="52"/>
      <c r="X1012" s="52"/>
      <c r="Y1012" s="52"/>
      <c r="Z1012" s="51"/>
      <c r="AA1012" s="73">
        <v>1012</v>
      </c>
      <c r="AB1012" s="73"/>
      <c r="AC1012" s="74"/>
      <c r="AD1012" s="80" t="s">
        <v>2240</v>
      </c>
      <c r="AE1012" s="80" t="s">
        <v>3136</v>
      </c>
      <c r="AF1012" s="80" t="s">
        <v>3828</v>
      </c>
      <c r="AG1012" s="80" t="s">
        <v>3884</v>
      </c>
      <c r="AH1012" s="80" t="s">
        <v>5565</v>
      </c>
      <c r="AI1012" s="80">
        <v>66668</v>
      </c>
      <c r="AJ1012" s="80">
        <v>23</v>
      </c>
      <c r="AK1012" s="80">
        <v>687</v>
      </c>
      <c r="AL1012" s="80">
        <v>18</v>
      </c>
      <c r="AM1012" s="80" t="s">
        <v>5614</v>
      </c>
      <c r="AN1012" s="102" t="str">
        <f>HYPERLINK("https://www.youtube.com/watch?v=z-h-BhcV7DM")</f>
        <v>https://www.youtube.com/watch?v=z-h-BhcV7DM</v>
      </c>
      <c r="AO1012" s="2"/>
      <c r="AP1012" s="3"/>
      <c r="AQ1012" s="3"/>
      <c r="AR1012" s="3"/>
      <c r="AS1012" s="3"/>
    </row>
    <row r="1013" spans="1:45" ht="15">
      <c r="A1013" s="66" t="s">
        <v>1188</v>
      </c>
      <c r="B1013" s="67"/>
      <c r="C1013" s="67"/>
      <c r="D1013" s="68"/>
      <c r="E1013" s="70"/>
      <c r="F1013" s="100" t="str">
        <f>HYPERLINK("https://i.ytimg.com/vi/AH0VGxNrzH4/default.jpg")</f>
        <v>https://i.ytimg.com/vi/AH0VGxNrzH4/default.jpg</v>
      </c>
      <c r="G1013" s="67"/>
      <c r="H1013" s="71"/>
      <c r="I1013" s="72"/>
      <c r="J1013" s="72"/>
      <c r="K1013" s="71" t="s">
        <v>2241</v>
      </c>
      <c r="L1013" s="75"/>
      <c r="M1013" s="76">
        <v>6142.00244140625</v>
      </c>
      <c r="N1013" s="76">
        <v>784.267333984375</v>
      </c>
      <c r="O1013" s="77"/>
      <c r="P1013" s="78"/>
      <c r="Q1013" s="78"/>
      <c r="R1013" s="82"/>
      <c r="S1013" s="82"/>
      <c r="T1013" s="82"/>
      <c r="U1013" s="82"/>
      <c r="V1013" s="52"/>
      <c r="W1013" s="52"/>
      <c r="X1013" s="52"/>
      <c r="Y1013" s="52"/>
      <c r="Z1013" s="51"/>
      <c r="AA1013" s="73">
        <v>1013</v>
      </c>
      <c r="AB1013" s="73"/>
      <c r="AC1013" s="74"/>
      <c r="AD1013" s="80" t="s">
        <v>2241</v>
      </c>
      <c r="AE1013" s="80" t="s">
        <v>3119</v>
      </c>
      <c r="AF1013" s="80" t="s">
        <v>3829</v>
      </c>
      <c r="AG1013" s="80" t="s">
        <v>3884</v>
      </c>
      <c r="AH1013" s="80" t="s">
        <v>5566</v>
      </c>
      <c r="AI1013" s="80">
        <v>463461</v>
      </c>
      <c r="AJ1013" s="80">
        <v>282</v>
      </c>
      <c r="AK1013" s="80">
        <v>7374</v>
      </c>
      <c r="AL1013" s="80">
        <v>295</v>
      </c>
      <c r="AM1013" s="80" t="s">
        <v>5614</v>
      </c>
      <c r="AN1013" s="102" t="str">
        <f>HYPERLINK("https://www.youtube.com/watch?v=AH0VGxNrzH4")</f>
        <v>https://www.youtube.com/watch?v=AH0VGxNrzH4</v>
      </c>
      <c r="AO1013" s="2"/>
      <c r="AP1013" s="3"/>
      <c r="AQ1013" s="3"/>
      <c r="AR1013" s="3"/>
      <c r="AS1013" s="3"/>
    </row>
    <row r="1014" spans="1:45" ht="15">
      <c r="A1014" s="66" t="s">
        <v>1189</v>
      </c>
      <c r="B1014" s="67"/>
      <c r="C1014" s="67"/>
      <c r="D1014" s="68"/>
      <c r="E1014" s="70"/>
      <c r="F1014" s="100" t="str">
        <f>HYPERLINK("https://i.ytimg.com/vi/YuLMQgwPfK0/default.jpg")</f>
        <v>https://i.ytimg.com/vi/YuLMQgwPfK0/default.jpg</v>
      </c>
      <c r="G1014" s="67"/>
      <c r="H1014" s="71"/>
      <c r="I1014" s="72"/>
      <c r="J1014" s="72"/>
      <c r="K1014" s="71" t="s">
        <v>2242</v>
      </c>
      <c r="L1014" s="75"/>
      <c r="M1014" s="76">
        <v>6105.55126953125</v>
      </c>
      <c r="N1014" s="76">
        <v>899.2606201171875</v>
      </c>
      <c r="O1014" s="77"/>
      <c r="P1014" s="78"/>
      <c r="Q1014" s="78"/>
      <c r="R1014" s="82"/>
      <c r="S1014" s="82"/>
      <c r="T1014" s="82"/>
      <c r="U1014" s="82"/>
      <c r="V1014" s="52"/>
      <c r="W1014" s="52"/>
      <c r="X1014" s="52"/>
      <c r="Y1014" s="52"/>
      <c r="Z1014" s="51"/>
      <c r="AA1014" s="73">
        <v>1014</v>
      </c>
      <c r="AB1014" s="73"/>
      <c r="AC1014" s="74"/>
      <c r="AD1014" s="80" t="s">
        <v>2242</v>
      </c>
      <c r="AE1014" s="80" t="s">
        <v>3137</v>
      </c>
      <c r="AF1014" s="80" t="s">
        <v>3830</v>
      </c>
      <c r="AG1014" s="80" t="s">
        <v>3884</v>
      </c>
      <c r="AH1014" s="80" t="s">
        <v>5567</v>
      </c>
      <c r="AI1014" s="80">
        <v>107515</v>
      </c>
      <c r="AJ1014" s="80">
        <v>11</v>
      </c>
      <c r="AK1014" s="80">
        <v>868</v>
      </c>
      <c r="AL1014" s="80">
        <v>34</v>
      </c>
      <c r="AM1014" s="80" t="s">
        <v>5614</v>
      </c>
      <c r="AN1014" s="102" t="str">
        <f>HYPERLINK("https://www.youtube.com/watch?v=YuLMQgwPfK0")</f>
        <v>https://www.youtube.com/watch?v=YuLMQgwPfK0</v>
      </c>
      <c r="AO1014" s="2"/>
      <c r="AP1014" s="3"/>
      <c r="AQ1014" s="3"/>
      <c r="AR1014" s="3"/>
      <c r="AS1014" s="3"/>
    </row>
    <row r="1015" spans="1:45" ht="15">
      <c r="A1015" s="66" t="s">
        <v>1190</v>
      </c>
      <c r="B1015" s="67"/>
      <c r="C1015" s="67"/>
      <c r="D1015" s="68"/>
      <c r="E1015" s="70"/>
      <c r="F1015" s="100" t="str">
        <f>HYPERLINK("https://i.ytimg.com/vi/ZucVXYoegVU/default.jpg")</f>
        <v>https://i.ytimg.com/vi/ZucVXYoegVU/default.jpg</v>
      </c>
      <c r="G1015" s="67"/>
      <c r="H1015" s="71"/>
      <c r="I1015" s="72"/>
      <c r="J1015" s="72"/>
      <c r="K1015" s="71" t="s">
        <v>2243</v>
      </c>
      <c r="L1015" s="75"/>
      <c r="M1015" s="76">
        <v>5519.49658203125</v>
      </c>
      <c r="N1015" s="76">
        <v>686.4886474609375</v>
      </c>
      <c r="O1015" s="77"/>
      <c r="P1015" s="78"/>
      <c r="Q1015" s="78"/>
      <c r="R1015" s="82"/>
      <c r="S1015" s="82"/>
      <c r="T1015" s="82"/>
      <c r="U1015" s="82"/>
      <c r="V1015" s="52"/>
      <c r="W1015" s="52"/>
      <c r="X1015" s="52"/>
      <c r="Y1015" s="52"/>
      <c r="Z1015" s="51"/>
      <c r="AA1015" s="73">
        <v>1015</v>
      </c>
      <c r="AB1015" s="73"/>
      <c r="AC1015" s="74"/>
      <c r="AD1015" s="80" t="s">
        <v>2243</v>
      </c>
      <c r="AE1015" s="80" t="s">
        <v>3138</v>
      </c>
      <c r="AF1015" s="80" t="s">
        <v>3831</v>
      </c>
      <c r="AG1015" s="80" t="s">
        <v>3884</v>
      </c>
      <c r="AH1015" s="80" t="s">
        <v>5568</v>
      </c>
      <c r="AI1015" s="80">
        <v>1550850</v>
      </c>
      <c r="AJ1015" s="80">
        <v>1123</v>
      </c>
      <c r="AK1015" s="80">
        <v>43748</v>
      </c>
      <c r="AL1015" s="80">
        <v>1161</v>
      </c>
      <c r="AM1015" s="80" t="s">
        <v>5614</v>
      </c>
      <c r="AN1015" s="102" t="str">
        <f>HYPERLINK("https://www.youtube.com/watch?v=ZucVXYoegVU")</f>
        <v>https://www.youtube.com/watch?v=ZucVXYoegVU</v>
      </c>
      <c r="AO1015" s="2"/>
      <c r="AP1015" s="3"/>
      <c r="AQ1015" s="3"/>
      <c r="AR1015" s="3"/>
      <c r="AS1015" s="3"/>
    </row>
    <row r="1016" spans="1:45" ht="15">
      <c r="A1016" s="66" t="s">
        <v>1191</v>
      </c>
      <c r="B1016" s="67"/>
      <c r="C1016" s="67"/>
      <c r="D1016" s="68"/>
      <c r="E1016" s="70"/>
      <c r="F1016" s="100" t="str">
        <f>HYPERLINK("https://i.ytimg.com/vi/kMXZbDT5vm0/default.jpg")</f>
        <v>https://i.ytimg.com/vi/kMXZbDT5vm0/default.jpg</v>
      </c>
      <c r="G1016" s="67"/>
      <c r="H1016" s="71"/>
      <c r="I1016" s="72"/>
      <c r="J1016" s="72"/>
      <c r="K1016" s="71" t="s">
        <v>2244</v>
      </c>
      <c r="L1016" s="75"/>
      <c r="M1016" s="76">
        <v>5742.47705078125</v>
      </c>
      <c r="N1016" s="76">
        <v>2628.989990234375</v>
      </c>
      <c r="O1016" s="77"/>
      <c r="P1016" s="78"/>
      <c r="Q1016" s="78"/>
      <c r="R1016" s="82"/>
      <c r="S1016" s="82"/>
      <c r="T1016" s="82"/>
      <c r="U1016" s="82"/>
      <c r="V1016" s="52"/>
      <c r="W1016" s="52"/>
      <c r="X1016" s="52"/>
      <c r="Y1016" s="52"/>
      <c r="Z1016" s="51"/>
      <c r="AA1016" s="73">
        <v>1016</v>
      </c>
      <c r="AB1016" s="73"/>
      <c r="AC1016" s="74"/>
      <c r="AD1016" s="80" t="s">
        <v>2244</v>
      </c>
      <c r="AE1016" s="80" t="s">
        <v>3139</v>
      </c>
      <c r="AF1016" s="80" t="s">
        <v>3832</v>
      </c>
      <c r="AG1016" s="80" t="s">
        <v>3884</v>
      </c>
      <c r="AH1016" s="80" t="s">
        <v>5569</v>
      </c>
      <c r="AI1016" s="80">
        <v>191288</v>
      </c>
      <c r="AJ1016" s="80">
        <v>99</v>
      </c>
      <c r="AK1016" s="80">
        <v>2148</v>
      </c>
      <c r="AL1016" s="80">
        <v>73</v>
      </c>
      <c r="AM1016" s="80" t="s">
        <v>5614</v>
      </c>
      <c r="AN1016" s="102" t="str">
        <f>HYPERLINK("https://www.youtube.com/watch?v=kMXZbDT5vm0")</f>
        <v>https://www.youtube.com/watch?v=kMXZbDT5vm0</v>
      </c>
      <c r="AO1016" s="2"/>
      <c r="AP1016" s="3"/>
      <c r="AQ1016" s="3"/>
      <c r="AR1016" s="3"/>
      <c r="AS1016" s="3"/>
    </row>
    <row r="1017" spans="1:45" ht="15">
      <c r="A1017" s="66" t="s">
        <v>1192</v>
      </c>
      <c r="B1017" s="67"/>
      <c r="C1017" s="67"/>
      <c r="D1017" s="68"/>
      <c r="E1017" s="70"/>
      <c r="F1017" s="100" t="str">
        <f>HYPERLINK("https://i.ytimg.com/vi/5es_G9-xInc/default.jpg")</f>
        <v>https://i.ytimg.com/vi/5es_G9-xInc/default.jpg</v>
      </c>
      <c r="G1017" s="67"/>
      <c r="H1017" s="71"/>
      <c r="I1017" s="72"/>
      <c r="J1017" s="72"/>
      <c r="K1017" s="71" t="s">
        <v>2245</v>
      </c>
      <c r="L1017" s="75"/>
      <c r="M1017" s="76">
        <v>6246.94677734375</v>
      </c>
      <c r="N1017" s="76">
        <v>728.4537963867188</v>
      </c>
      <c r="O1017" s="77"/>
      <c r="P1017" s="78"/>
      <c r="Q1017" s="78"/>
      <c r="R1017" s="82"/>
      <c r="S1017" s="82"/>
      <c r="T1017" s="82"/>
      <c r="U1017" s="82"/>
      <c r="V1017" s="52"/>
      <c r="W1017" s="52"/>
      <c r="X1017" s="52"/>
      <c r="Y1017" s="52"/>
      <c r="Z1017" s="51"/>
      <c r="AA1017" s="73">
        <v>1017</v>
      </c>
      <c r="AB1017" s="73"/>
      <c r="AC1017" s="74"/>
      <c r="AD1017" s="80" t="s">
        <v>2245</v>
      </c>
      <c r="AE1017" s="80" t="s">
        <v>3140</v>
      </c>
      <c r="AF1017" s="80" t="s">
        <v>3833</v>
      </c>
      <c r="AG1017" s="80" t="s">
        <v>3884</v>
      </c>
      <c r="AH1017" s="80" t="s">
        <v>5570</v>
      </c>
      <c r="AI1017" s="80">
        <v>290293</v>
      </c>
      <c r="AJ1017" s="80">
        <v>493</v>
      </c>
      <c r="AK1017" s="80">
        <v>20957</v>
      </c>
      <c r="AL1017" s="80">
        <v>219</v>
      </c>
      <c r="AM1017" s="80" t="s">
        <v>5614</v>
      </c>
      <c r="AN1017" s="102" t="str">
        <f>HYPERLINK("https://www.youtube.com/watch?v=5es_G9-xInc")</f>
        <v>https://www.youtube.com/watch?v=5es_G9-xInc</v>
      </c>
      <c r="AO1017" s="2"/>
      <c r="AP1017" s="3"/>
      <c r="AQ1017" s="3"/>
      <c r="AR1017" s="3"/>
      <c r="AS1017" s="3"/>
    </row>
    <row r="1018" spans="1:45" ht="15">
      <c r="A1018" s="66" t="s">
        <v>1193</v>
      </c>
      <c r="B1018" s="67"/>
      <c r="C1018" s="67"/>
      <c r="D1018" s="68"/>
      <c r="E1018" s="70"/>
      <c r="F1018" s="100" t="str">
        <f>HYPERLINK("https://i.ytimg.com/vi/5KiGF3uZxgU/default.jpg")</f>
        <v>https://i.ytimg.com/vi/5KiGF3uZxgU/default.jpg</v>
      </c>
      <c r="G1018" s="67"/>
      <c r="H1018" s="71"/>
      <c r="I1018" s="72"/>
      <c r="J1018" s="72"/>
      <c r="K1018" s="71" t="s">
        <v>2246</v>
      </c>
      <c r="L1018" s="75"/>
      <c r="M1018" s="76">
        <v>5970.0712890625</v>
      </c>
      <c r="N1018" s="76">
        <v>682.9456176757812</v>
      </c>
      <c r="O1018" s="77"/>
      <c r="P1018" s="78"/>
      <c r="Q1018" s="78"/>
      <c r="R1018" s="82"/>
      <c r="S1018" s="82"/>
      <c r="T1018" s="82"/>
      <c r="U1018" s="82"/>
      <c r="V1018" s="52"/>
      <c r="W1018" s="52"/>
      <c r="X1018" s="52"/>
      <c r="Y1018" s="52"/>
      <c r="Z1018" s="51"/>
      <c r="AA1018" s="73">
        <v>1018</v>
      </c>
      <c r="AB1018" s="73"/>
      <c r="AC1018" s="74"/>
      <c r="AD1018" s="80" t="s">
        <v>2246</v>
      </c>
      <c r="AE1018" s="80" t="s">
        <v>3119</v>
      </c>
      <c r="AF1018" s="80" t="s">
        <v>3834</v>
      </c>
      <c r="AG1018" s="80" t="s">
        <v>3884</v>
      </c>
      <c r="AH1018" s="80" t="s">
        <v>5571</v>
      </c>
      <c r="AI1018" s="80">
        <v>242854</v>
      </c>
      <c r="AJ1018" s="80">
        <v>105</v>
      </c>
      <c r="AK1018" s="80">
        <v>3327</v>
      </c>
      <c r="AL1018" s="80">
        <v>279</v>
      </c>
      <c r="AM1018" s="80" t="s">
        <v>5614</v>
      </c>
      <c r="AN1018" s="102" t="str">
        <f>HYPERLINK("https://www.youtube.com/watch?v=5KiGF3uZxgU")</f>
        <v>https://www.youtube.com/watch?v=5KiGF3uZxgU</v>
      </c>
      <c r="AO1018" s="2"/>
      <c r="AP1018" s="3"/>
      <c r="AQ1018" s="3"/>
      <c r="AR1018" s="3"/>
      <c r="AS1018" s="3"/>
    </row>
    <row r="1019" spans="1:45" ht="15">
      <c r="A1019" s="66" t="s">
        <v>1194</v>
      </c>
      <c r="B1019" s="67"/>
      <c r="C1019" s="67"/>
      <c r="D1019" s="68"/>
      <c r="E1019" s="70"/>
      <c r="F1019" s="100" t="str">
        <f>HYPERLINK("https://i.ytimg.com/vi/cOpRBfiSFtI/default.jpg")</f>
        <v>https://i.ytimg.com/vi/cOpRBfiSFtI/default.jpg</v>
      </c>
      <c r="G1019" s="67"/>
      <c r="H1019" s="71"/>
      <c r="I1019" s="72"/>
      <c r="J1019" s="72"/>
      <c r="K1019" s="71" t="s">
        <v>2247</v>
      </c>
      <c r="L1019" s="75"/>
      <c r="M1019" s="76">
        <v>6618.7900390625</v>
      </c>
      <c r="N1019" s="76">
        <v>804.5120849609375</v>
      </c>
      <c r="O1019" s="77"/>
      <c r="P1019" s="78"/>
      <c r="Q1019" s="78"/>
      <c r="R1019" s="82"/>
      <c r="S1019" s="82"/>
      <c r="T1019" s="82"/>
      <c r="U1019" s="82"/>
      <c r="V1019" s="52"/>
      <c r="W1019" s="52"/>
      <c r="X1019" s="52"/>
      <c r="Y1019" s="52"/>
      <c r="Z1019" s="51"/>
      <c r="AA1019" s="73">
        <v>1019</v>
      </c>
      <c r="AB1019" s="73"/>
      <c r="AC1019" s="74"/>
      <c r="AD1019" s="80" t="s">
        <v>2247</v>
      </c>
      <c r="AE1019" s="80" t="s">
        <v>3141</v>
      </c>
      <c r="AF1019" s="80" t="s">
        <v>3835</v>
      </c>
      <c r="AG1019" s="80" t="s">
        <v>3884</v>
      </c>
      <c r="AH1019" s="80" t="s">
        <v>5572</v>
      </c>
      <c r="AI1019" s="80">
        <v>7804</v>
      </c>
      <c r="AJ1019" s="80">
        <v>3</v>
      </c>
      <c r="AK1019" s="80">
        <v>118</v>
      </c>
      <c r="AL1019" s="80">
        <v>3</v>
      </c>
      <c r="AM1019" s="80" t="s">
        <v>5614</v>
      </c>
      <c r="AN1019" s="102" t="str">
        <f>HYPERLINK("https://www.youtube.com/watch?v=cOpRBfiSFtI")</f>
        <v>https://www.youtube.com/watch?v=cOpRBfiSFtI</v>
      </c>
      <c r="AO1019" s="2"/>
      <c r="AP1019" s="3"/>
      <c r="AQ1019" s="3"/>
      <c r="AR1019" s="3"/>
      <c r="AS1019" s="3"/>
    </row>
    <row r="1020" spans="1:45" ht="15">
      <c r="A1020" s="66" t="s">
        <v>1195</v>
      </c>
      <c r="B1020" s="67"/>
      <c r="C1020" s="67"/>
      <c r="D1020" s="68"/>
      <c r="E1020" s="70"/>
      <c r="F1020" s="100" t="str">
        <f>HYPERLINK("https://i.ytimg.com/vi/W6BYAjhjt38/default.jpg")</f>
        <v>https://i.ytimg.com/vi/W6BYAjhjt38/default.jpg</v>
      </c>
      <c r="G1020" s="67"/>
      <c r="H1020" s="71"/>
      <c r="I1020" s="72"/>
      <c r="J1020" s="72"/>
      <c r="K1020" s="71" t="s">
        <v>2248</v>
      </c>
      <c r="L1020" s="75"/>
      <c r="M1020" s="76">
        <v>6052.82958984375</v>
      </c>
      <c r="N1020" s="76">
        <v>743.0846557617188</v>
      </c>
      <c r="O1020" s="77"/>
      <c r="P1020" s="78"/>
      <c r="Q1020" s="78"/>
      <c r="R1020" s="82"/>
      <c r="S1020" s="82"/>
      <c r="T1020" s="82"/>
      <c r="U1020" s="82"/>
      <c r="V1020" s="52"/>
      <c r="W1020" s="52"/>
      <c r="X1020" s="52"/>
      <c r="Y1020" s="52"/>
      <c r="Z1020" s="51"/>
      <c r="AA1020" s="73">
        <v>1020</v>
      </c>
      <c r="AB1020" s="73"/>
      <c r="AC1020" s="74"/>
      <c r="AD1020" s="80" t="s">
        <v>2248</v>
      </c>
      <c r="AE1020" s="80" t="s">
        <v>3142</v>
      </c>
      <c r="AF1020" s="80" t="s">
        <v>3836</v>
      </c>
      <c r="AG1020" s="80" t="s">
        <v>3884</v>
      </c>
      <c r="AH1020" s="80" t="s">
        <v>5573</v>
      </c>
      <c r="AI1020" s="80">
        <v>3453641</v>
      </c>
      <c r="AJ1020" s="80">
        <v>18888</v>
      </c>
      <c r="AK1020" s="80">
        <v>71066</v>
      </c>
      <c r="AL1020" s="80">
        <v>2613</v>
      </c>
      <c r="AM1020" s="80" t="s">
        <v>5614</v>
      </c>
      <c r="AN1020" s="102" t="str">
        <f>HYPERLINK("https://www.youtube.com/watch?v=W6BYAjhjt38")</f>
        <v>https://www.youtube.com/watch?v=W6BYAjhjt38</v>
      </c>
      <c r="AO1020" s="2"/>
      <c r="AP1020" s="3"/>
      <c r="AQ1020" s="3"/>
      <c r="AR1020" s="3"/>
      <c r="AS1020" s="3"/>
    </row>
    <row r="1021" spans="1:45" ht="15">
      <c r="A1021" s="66" t="s">
        <v>1196</v>
      </c>
      <c r="B1021" s="67"/>
      <c r="C1021" s="67"/>
      <c r="D1021" s="68"/>
      <c r="E1021" s="70"/>
      <c r="F1021" s="100" t="str">
        <f>HYPERLINK("https://i.ytimg.com/vi/NMonxMKDUzs/default.jpg")</f>
        <v>https://i.ytimg.com/vi/NMonxMKDUzs/default.jpg</v>
      </c>
      <c r="G1021" s="67"/>
      <c r="H1021" s="71"/>
      <c r="I1021" s="72"/>
      <c r="J1021" s="72"/>
      <c r="K1021" s="71" t="s">
        <v>2249</v>
      </c>
      <c r="L1021" s="75"/>
      <c r="M1021" s="76">
        <v>5413.6103515625</v>
      </c>
      <c r="N1021" s="76">
        <v>806.416748046875</v>
      </c>
      <c r="O1021" s="77"/>
      <c r="P1021" s="78"/>
      <c r="Q1021" s="78"/>
      <c r="R1021" s="82"/>
      <c r="S1021" s="82"/>
      <c r="T1021" s="82"/>
      <c r="U1021" s="82"/>
      <c r="V1021" s="52"/>
      <c r="W1021" s="52"/>
      <c r="X1021" s="52"/>
      <c r="Y1021" s="52"/>
      <c r="Z1021" s="51"/>
      <c r="AA1021" s="73">
        <v>1021</v>
      </c>
      <c r="AB1021" s="73"/>
      <c r="AC1021" s="74"/>
      <c r="AD1021" s="80" t="s">
        <v>2249</v>
      </c>
      <c r="AE1021" s="80" t="s">
        <v>3143</v>
      </c>
      <c r="AF1021" s="80" t="s">
        <v>3837</v>
      </c>
      <c r="AG1021" s="80" t="s">
        <v>3884</v>
      </c>
      <c r="AH1021" s="80" t="s">
        <v>5574</v>
      </c>
      <c r="AI1021" s="80">
        <v>38355</v>
      </c>
      <c r="AJ1021" s="80">
        <v>12</v>
      </c>
      <c r="AK1021" s="80">
        <v>593</v>
      </c>
      <c r="AL1021" s="80">
        <v>30</v>
      </c>
      <c r="AM1021" s="80" t="s">
        <v>5614</v>
      </c>
      <c r="AN1021" s="102" t="str">
        <f>HYPERLINK("https://www.youtube.com/watch?v=NMonxMKDUzs")</f>
        <v>https://www.youtube.com/watch?v=NMonxMKDUzs</v>
      </c>
      <c r="AO1021" s="2"/>
      <c r="AP1021" s="3"/>
      <c r="AQ1021" s="3"/>
      <c r="AR1021" s="3"/>
      <c r="AS1021" s="3"/>
    </row>
    <row r="1022" spans="1:45" ht="15">
      <c r="A1022" s="66" t="s">
        <v>1197</v>
      </c>
      <c r="B1022" s="67"/>
      <c r="C1022" s="67"/>
      <c r="D1022" s="68"/>
      <c r="E1022" s="70"/>
      <c r="F1022" s="100" t="str">
        <f>HYPERLINK("https://i.ytimg.com/vi/VHw7rEtawsM/default.jpg")</f>
        <v>https://i.ytimg.com/vi/VHw7rEtawsM/default.jpg</v>
      </c>
      <c r="G1022" s="67"/>
      <c r="H1022" s="71"/>
      <c r="I1022" s="72"/>
      <c r="J1022" s="72"/>
      <c r="K1022" s="71" t="s">
        <v>2250</v>
      </c>
      <c r="L1022" s="75"/>
      <c r="M1022" s="76">
        <v>6607.884765625</v>
      </c>
      <c r="N1022" s="76">
        <v>910.74755859375</v>
      </c>
      <c r="O1022" s="77"/>
      <c r="P1022" s="78"/>
      <c r="Q1022" s="78"/>
      <c r="R1022" s="82"/>
      <c r="S1022" s="82"/>
      <c r="T1022" s="82"/>
      <c r="U1022" s="82"/>
      <c r="V1022" s="52"/>
      <c r="W1022" s="52"/>
      <c r="X1022" s="52"/>
      <c r="Y1022" s="52"/>
      <c r="Z1022" s="51"/>
      <c r="AA1022" s="73">
        <v>1022</v>
      </c>
      <c r="AB1022" s="73"/>
      <c r="AC1022" s="74"/>
      <c r="AD1022" s="80" t="s">
        <v>2250</v>
      </c>
      <c r="AE1022" s="80" t="s">
        <v>3144</v>
      </c>
      <c r="AF1022" s="80" t="s">
        <v>3838</v>
      </c>
      <c r="AG1022" s="80" t="s">
        <v>3884</v>
      </c>
      <c r="AH1022" s="80" t="s">
        <v>5575</v>
      </c>
      <c r="AI1022" s="80">
        <v>7731</v>
      </c>
      <c r="AJ1022" s="80">
        <v>5</v>
      </c>
      <c r="AK1022" s="80">
        <v>194</v>
      </c>
      <c r="AL1022" s="80">
        <v>11</v>
      </c>
      <c r="AM1022" s="80" t="s">
        <v>5614</v>
      </c>
      <c r="AN1022" s="102" t="str">
        <f>HYPERLINK("https://www.youtube.com/watch?v=VHw7rEtawsM")</f>
        <v>https://www.youtube.com/watch?v=VHw7rEtawsM</v>
      </c>
      <c r="AO1022" s="2"/>
      <c r="AP1022" s="3"/>
      <c r="AQ1022" s="3"/>
      <c r="AR1022" s="3"/>
      <c r="AS1022" s="3"/>
    </row>
    <row r="1023" spans="1:45" ht="15">
      <c r="A1023" s="66" t="s">
        <v>1198</v>
      </c>
      <c r="B1023" s="67"/>
      <c r="C1023" s="67"/>
      <c r="D1023" s="68"/>
      <c r="E1023" s="70"/>
      <c r="F1023" s="100" t="str">
        <f>HYPERLINK("https://i.ytimg.com/vi/mpVghYcgQBI/default.jpg")</f>
        <v>https://i.ytimg.com/vi/mpVghYcgQBI/default.jpg</v>
      </c>
      <c r="G1023" s="67"/>
      <c r="H1023" s="71"/>
      <c r="I1023" s="72"/>
      <c r="J1023" s="72"/>
      <c r="K1023" s="71" t="s">
        <v>2251</v>
      </c>
      <c r="L1023" s="75"/>
      <c r="M1023" s="76">
        <v>5276.5263671875</v>
      </c>
      <c r="N1023" s="76">
        <v>777.4219360351562</v>
      </c>
      <c r="O1023" s="77"/>
      <c r="P1023" s="78"/>
      <c r="Q1023" s="78"/>
      <c r="R1023" s="82"/>
      <c r="S1023" s="82"/>
      <c r="T1023" s="82"/>
      <c r="U1023" s="82"/>
      <c r="V1023" s="52"/>
      <c r="W1023" s="52"/>
      <c r="X1023" s="52"/>
      <c r="Y1023" s="52"/>
      <c r="Z1023" s="51"/>
      <c r="AA1023" s="73">
        <v>1023</v>
      </c>
      <c r="AB1023" s="73"/>
      <c r="AC1023" s="74"/>
      <c r="AD1023" s="80" t="s">
        <v>2251</v>
      </c>
      <c r="AE1023" s="80" t="s">
        <v>3145</v>
      </c>
      <c r="AF1023" s="80" t="s">
        <v>3839</v>
      </c>
      <c r="AG1023" s="80" t="s">
        <v>3884</v>
      </c>
      <c r="AH1023" s="80" t="s">
        <v>5576</v>
      </c>
      <c r="AI1023" s="80">
        <v>37406</v>
      </c>
      <c r="AJ1023" s="80">
        <v>9</v>
      </c>
      <c r="AK1023" s="80">
        <v>906</v>
      </c>
      <c r="AL1023" s="80">
        <v>16</v>
      </c>
      <c r="AM1023" s="80" t="s">
        <v>5614</v>
      </c>
      <c r="AN1023" s="102" t="str">
        <f>HYPERLINK("https://www.youtube.com/watch?v=mpVghYcgQBI")</f>
        <v>https://www.youtube.com/watch?v=mpVghYcgQBI</v>
      </c>
      <c r="AO1023" s="2"/>
      <c r="AP1023" s="3"/>
      <c r="AQ1023" s="3"/>
      <c r="AR1023" s="3"/>
      <c r="AS1023" s="3"/>
    </row>
    <row r="1024" spans="1:45" ht="15">
      <c r="A1024" s="66" t="s">
        <v>1199</v>
      </c>
      <c r="B1024" s="67"/>
      <c r="C1024" s="67"/>
      <c r="D1024" s="68"/>
      <c r="E1024" s="70"/>
      <c r="F1024" s="100" t="str">
        <f>HYPERLINK("https://i.ytimg.com/vi/3BAfs_oDevw/default.jpg")</f>
        <v>https://i.ytimg.com/vi/3BAfs_oDevw/default.jpg</v>
      </c>
      <c r="G1024" s="67"/>
      <c r="H1024" s="71"/>
      <c r="I1024" s="72"/>
      <c r="J1024" s="72"/>
      <c r="K1024" s="71" t="s">
        <v>2252</v>
      </c>
      <c r="L1024" s="75"/>
      <c r="M1024" s="76">
        <v>6690.42822265625</v>
      </c>
      <c r="N1024" s="76">
        <v>923.7450561523438</v>
      </c>
      <c r="O1024" s="77"/>
      <c r="P1024" s="78"/>
      <c r="Q1024" s="78"/>
      <c r="R1024" s="82"/>
      <c r="S1024" s="82"/>
      <c r="T1024" s="82"/>
      <c r="U1024" s="82"/>
      <c r="V1024" s="52"/>
      <c r="W1024" s="52"/>
      <c r="X1024" s="52"/>
      <c r="Y1024" s="52"/>
      <c r="Z1024" s="51"/>
      <c r="AA1024" s="73">
        <v>1024</v>
      </c>
      <c r="AB1024" s="73"/>
      <c r="AC1024" s="74"/>
      <c r="AD1024" s="80" t="s">
        <v>2252</v>
      </c>
      <c r="AE1024" s="80" t="s">
        <v>3146</v>
      </c>
      <c r="AF1024" s="80" t="s">
        <v>3840</v>
      </c>
      <c r="AG1024" s="80" t="s">
        <v>3884</v>
      </c>
      <c r="AH1024" s="80" t="s">
        <v>5577</v>
      </c>
      <c r="AI1024" s="80">
        <v>42271</v>
      </c>
      <c r="AJ1024" s="80">
        <v>18</v>
      </c>
      <c r="AK1024" s="80">
        <v>408</v>
      </c>
      <c r="AL1024" s="80">
        <v>13</v>
      </c>
      <c r="AM1024" s="80" t="s">
        <v>5614</v>
      </c>
      <c r="AN1024" s="102" t="str">
        <f>HYPERLINK("https://www.youtube.com/watch?v=3BAfs_oDevw")</f>
        <v>https://www.youtube.com/watch?v=3BAfs_oDevw</v>
      </c>
      <c r="AO1024" s="2"/>
      <c r="AP1024" s="3"/>
      <c r="AQ1024" s="3"/>
      <c r="AR1024" s="3"/>
      <c r="AS1024" s="3"/>
    </row>
    <row r="1025" spans="1:45" ht="15">
      <c r="A1025" s="66" t="s">
        <v>1200</v>
      </c>
      <c r="B1025" s="67"/>
      <c r="C1025" s="67"/>
      <c r="D1025" s="68"/>
      <c r="E1025" s="70"/>
      <c r="F1025" s="100" t="str">
        <f>HYPERLINK("https://i.ytimg.com/vi/y0tVnE-8mwU/default.jpg")</f>
        <v>https://i.ytimg.com/vi/y0tVnE-8mwU/default.jpg</v>
      </c>
      <c r="G1025" s="67"/>
      <c r="H1025" s="71"/>
      <c r="I1025" s="72"/>
      <c r="J1025" s="72"/>
      <c r="K1025" s="71" t="s">
        <v>2253</v>
      </c>
      <c r="L1025" s="75"/>
      <c r="M1025" s="76">
        <v>6127.51513671875</v>
      </c>
      <c r="N1025" s="76">
        <v>670.4049682617188</v>
      </c>
      <c r="O1025" s="77"/>
      <c r="P1025" s="78"/>
      <c r="Q1025" s="78"/>
      <c r="R1025" s="82"/>
      <c r="S1025" s="82"/>
      <c r="T1025" s="82"/>
      <c r="U1025" s="82"/>
      <c r="V1025" s="52"/>
      <c r="W1025" s="52"/>
      <c r="X1025" s="52"/>
      <c r="Y1025" s="52"/>
      <c r="Z1025" s="51"/>
      <c r="AA1025" s="73">
        <v>1025</v>
      </c>
      <c r="AB1025" s="73"/>
      <c r="AC1025" s="74"/>
      <c r="AD1025" s="80" t="s">
        <v>2253</v>
      </c>
      <c r="AE1025" s="80" t="s">
        <v>3147</v>
      </c>
      <c r="AF1025" s="80" t="s">
        <v>3841</v>
      </c>
      <c r="AG1025" s="80" t="s">
        <v>3884</v>
      </c>
      <c r="AH1025" s="80" t="s">
        <v>5578</v>
      </c>
      <c r="AI1025" s="80">
        <v>454866</v>
      </c>
      <c r="AJ1025" s="80">
        <v>569</v>
      </c>
      <c r="AK1025" s="80">
        <v>8035</v>
      </c>
      <c r="AL1025" s="80">
        <v>340</v>
      </c>
      <c r="AM1025" s="80" t="s">
        <v>5614</v>
      </c>
      <c r="AN1025" s="102" t="str">
        <f>HYPERLINK("https://www.youtube.com/watch?v=y0tVnE-8mwU")</f>
        <v>https://www.youtube.com/watch?v=y0tVnE-8mwU</v>
      </c>
      <c r="AO1025" s="2"/>
      <c r="AP1025" s="3"/>
      <c r="AQ1025" s="3"/>
      <c r="AR1025" s="3"/>
      <c r="AS1025" s="3"/>
    </row>
    <row r="1026" spans="1:45" ht="15">
      <c r="A1026" s="66" t="s">
        <v>1201</v>
      </c>
      <c r="B1026" s="67"/>
      <c r="C1026" s="67"/>
      <c r="D1026" s="68"/>
      <c r="E1026" s="70"/>
      <c r="F1026" s="100" t="str">
        <f>HYPERLINK("https://i.ytimg.com/vi/0K7a3EiGH98/default.jpg")</f>
        <v>https://i.ytimg.com/vi/0K7a3EiGH98/default.jpg</v>
      </c>
      <c r="G1026" s="67"/>
      <c r="H1026" s="71"/>
      <c r="I1026" s="72"/>
      <c r="J1026" s="72"/>
      <c r="K1026" s="71" t="s">
        <v>2254</v>
      </c>
      <c r="L1026" s="75"/>
      <c r="M1026" s="76">
        <v>5742.658203125</v>
      </c>
      <c r="N1026" s="76">
        <v>674.7210693359375</v>
      </c>
      <c r="O1026" s="77"/>
      <c r="P1026" s="78"/>
      <c r="Q1026" s="78"/>
      <c r="R1026" s="82"/>
      <c r="S1026" s="82"/>
      <c r="T1026" s="82"/>
      <c r="U1026" s="82"/>
      <c r="V1026" s="52"/>
      <c r="W1026" s="52"/>
      <c r="X1026" s="52"/>
      <c r="Y1026" s="52"/>
      <c r="Z1026" s="51"/>
      <c r="AA1026" s="73">
        <v>1026</v>
      </c>
      <c r="AB1026" s="73"/>
      <c r="AC1026" s="74"/>
      <c r="AD1026" s="80" t="s">
        <v>2254</v>
      </c>
      <c r="AE1026" s="80" t="s">
        <v>3148</v>
      </c>
      <c r="AF1026" s="80" t="s">
        <v>3842</v>
      </c>
      <c r="AG1026" s="80" t="s">
        <v>3884</v>
      </c>
      <c r="AH1026" s="80" t="s">
        <v>5579</v>
      </c>
      <c r="AI1026" s="80">
        <v>109210</v>
      </c>
      <c r="AJ1026" s="80">
        <v>95</v>
      </c>
      <c r="AK1026" s="80">
        <v>1967</v>
      </c>
      <c r="AL1026" s="80">
        <v>120</v>
      </c>
      <c r="AM1026" s="80" t="s">
        <v>5614</v>
      </c>
      <c r="AN1026" s="102" t="str">
        <f>HYPERLINK("https://www.youtube.com/watch?v=0K7a3EiGH98")</f>
        <v>https://www.youtube.com/watch?v=0K7a3EiGH98</v>
      </c>
      <c r="AO1026" s="2"/>
      <c r="AP1026" s="3"/>
      <c r="AQ1026" s="3"/>
      <c r="AR1026" s="3"/>
      <c r="AS1026" s="3"/>
    </row>
    <row r="1027" spans="1:45" ht="15">
      <c r="A1027" s="66" t="s">
        <v>1202</v>
      </c>
      <c r="B1027" s="67"/>
      <c r="C1027" s="67"/>
      <c r="D1027" s="68"/>
      <c r="E1027" s="70"/>
      <c r="F1027" s="100" t="str">
        <f>HYPERLINK("https://i.ytimg.com/vi/FINsh6nRLGk/default.jpg")</f>
        <v>https://i.ytimg.com/vi/FINsh6nRLGk/default.jpg</v>
      </c>
      <c r="G1027" s="67"/>
      <c r="H1027" s="71"/>
      <c r="I1027" s="72"/>
      <c r="J1027" s="72"/>
      <c r="K1027" s="71" t="s">
        <v>2255</v>
      </c>
      <c r="L1027" s="75"/>
      <c r="M1027" s="76">
        <v>5697.2509765625</v>
      </c>
      <c r="N1027" s="76">
        <v>556.4434204101562</v>
      </c>
      <c r="O1027" s="77"/>
      <c r="P1027" s="78"/>
      <c r="Q1027" s="78"/>
      <c r="R1027" s="82"/>
      <c r="S1027" s="82"/>
      <c r="T1027" s="82"/>
      <c r="U1027" s="82"/>
      <c r="V1027" s="52"/>
      <c r="W1027" s="52"/>
      <c r="X1027" s="52"/>
      <c r="Y1027" s="52"/>
      <c r="Z1027" s="51"/>
      <c r="AA1027" s="73">
        <v>1027</v>
      </c>
      <c r="AB1027" s="73"/>
      <c r="AC1027" s="74"/>
      <c r="AD1027" s="80" t="s">
        <v>2255</v>
      </c>
      <c r="AE1027" s="80" t="s">
        <v>3149</v>
      </c>
      <c r="AF1027" s="80" t="s">
        <v>3843</v>
      </c>
      <c r="AG1027" s="80" t="s">
        <v>3884</v>
      </c>
      <c r="AH1027" s="80" t="s">
        <v>5580</v>
      </c>
      <c r="AI1027" s="80">
        <v>12835</v>
      </c>
      <c r="AJ1027" s="80">
        <v>10</v>
      </c>
      <c r="AK1027" s="80">
        <v>180</v>
      </c>
      <c r="AL1027" s="80">
        <v>6</v>
      </c>
      <c r="AM1027" s="80" t="s">
        <v>5614</v>
      </c>
      <c r="AN1027" s="102" t="str">
        <f>HYPERLINK("https://www.youtube.com/watch?v=FINsh6nRLGk")</f>
        <v>https://www.youtube.com/watch?v=FINsh6nRLGk</v>
      </c>
      <c r="AO1027" s="2"/>
      <c r="AP1027" s="3"/>
      <c r="AQ1027" s="3"/>
      <c r="AR1027" s="3"/>
      <c r="AS1027" s="3"/>
    </row>
    <row r="1028" spans="1:45" ht="15">
      <c r="A1028" s="66" t="s">
        <v>1203</v>
      </c>
      <c r="B1028" s="67"/>
      <c r="C1028" s="67"/>
      <c r="D1028" s="68"/>
      <c r="E1028" s="70"/>
      <c r="F1028" s="100" t="str">
        <f>HYPERLINK("https://i.ytimg.com/vi/vWdYFfL0dB8/default.jpg")</f>
        <v>https://i.ytimg.com/vi/vWdYFfL0dB8/default.jpg</v>
      </c>
      <c r="G1028" s="67"/>
      <c r="H1028" s="71"/>
      <c r="I1028" s="72"/>
      <c r="J1028" s="72"/>
      <c r="K1028" s="71" t="s">
        <v>2256</v>
      </c>
      <c r="L1028" s="75"/>
      <c r="M1028" s="76">
        <v>6466.017578125</v>
      </c>
      <c r="N1028" s="76">
        <v>790.5228881835938</v>
      </c>
      <c r="O1028" s="77"/>
      <c r="P1028" s="78"/>
      <c r="Q1028" s="78"/>
      <c r="R1028" s="82"/>
      <c r="S1028" s="82"/>
      <c r="T1028" s="82"/>
      <c r="U1028" s="82"/>
      <c r="V1028" s="52"/>
      <c r="W1028" s="52"/>
      <c r="X1028" s="52"/>
      <c r="Y1028" s="52"/>
      <c r="Z1028" s="51"/>
      <c r="AA1028" s="73">
        <v>1028</v>
      </c>
      <c r="AB1028" s="73"/>
      <c r="AC1028" s="74"/>
      <c r="AD1028" s="80" t="s">
        <v>2256</v>
      </c>
      <c r="AE1028" s="80" t="s">
        <v>3150</v>
      </c>
      <c r="AF1028" s="80" t="s">
        <v>3844</v>
      </c>
      <c r="AG1028" s="80" t="s">
        <v>3884</v>
      </c>
      <c r="AH1028" s="80" t="s">
        <v>5581</v>
      </c>
      <c r="AI1028" s="80">
        <v>157482</v>
      </c>
      <c r="AJ1028" s="80">
        <v>62</v>
      </c>
      <c r="AK1028" s="80">
        <v>1271</v>
      </c>
      <c r="AL1028" s="80">
        <v>139</v>
      </c>
      <c r="AM1028" s="80" t="s">
        <v>5614</v>
      </c>
      <c r="AN1028" s="102" t="str">
        <f>HYPERLINK("https://www.youtube.com/watch?v=vWdYFfL0dB8")</f>
        <v>https://www.youtube.com/watch?v=vWdYFfL0dB8</v>
      </c>
      <c r="AO1028" s="2"/>
      <c r="AP1028" s="3"/>
      <c r="AQ1028" s="3"/>
      <c r="AR1028" s="3"/>
      <c r="AS1028" s="3"/>
    </row>
    <row r="1029" spans="1:45" ht="15">
      <c r="A1029" s="66" t="s">
        <v>1204</v>
      </c>
      <c r="B1029" s="67"/>
      <c r="C1029" s="67"/>
      <c r="D1029" s="68"/>
      <c r="E1029" s="70"/>
      <c r="F1029" s="100" t="str">
        <f>HYPERLINK("https://i.ytimg.com/vi/6TE3C087TYs/default.jpg")</f>
        <v>https://i.ytimg.com/vi/6TE3C087TYs/default.jpg</v>
      </c>
      <c r="G1029" s="67"/>
      <c r="H1029" s="71"/>
      <c r="I1029" s="72"/>
      <c r="J1029" s="72"/>
      <c r="K1029" s="71" t="s">
        <v>2257</v>
      </c>
      <c r="L1029" s="75"/>
      <c r="M1029" s="76">
        <v>5851.1259765625</v>
      </c>
      <c r="N1029" s="76">
        <v>557.5537719726562</v>
      </c>
      <c r="O1029" s="77"/>
      <c r="P1029" s="78"/>
      <c r="Q1029" s="78"/>
      <c r="R1029" s="82"/>
      <c r="S1029" s="82"/>
      <c r="T1029" s="82"/>
      <c r="U1029" s="82"/>
      <c r="V1029" s="52"/>
      <c r="W1029" s="52"/>
      <c r="X1029" s="52"/>
      <c r="Y1029" s="52"/>
      <c r="Z1029" s="51"/>
      <c r="AA1029" s="73">
        <v>1029</v>
      </c>
      <c r="AB1029" s="73"/>
      <c r="AC1029" s="74"/>
      <c r="AD1029" s="80" t="s">
        <v>2257</v>
      </c>
      <c r="AE1029" s="80" t="s">
        <v>3151</v>
      </c>
      <c r="AF1029" s="80" t="s">
        <v>3845</v>
      </c>
      <c r="AG1029" s="80" t="s">
        <v>3884</v>
      </c>
      <c r="AH1029" s="80" t="s">
        <v>5582</v>
      </c>
      <c r="AI1029" s="80">
        <v>69012</v>
      </c>
      <c r="AJ1029" s="80">
        <v>42</v>
      </c>
      <c r="AK1029" s="80">
        <v>2002</v>
      </c>
      <c r="AL1029" s="80">
        <v>41</v>
      </c>
      <c r="AM1029" s="80" t="s">
        <v>5614</v>
      </c>
      <c r="AN1029" s="102" t="str">
        <f>HYPERLINK("https://www.youtube.com/watch?v=6TE3C087TYs")</f>
        <v>https://www.youtube.com/watch?v=6TE3C087TYs</v>
      </c>
      <c r="AO1029" s="2"/>
      <c r="AP1029" s="3"/>
      <c r="AQ1029" s="3"/>
      <c r="AR1029" s="3"/>
      <c r="AS1029" s="3"/>
    </row>
    <row r="1030" spans="1:45" ht="15">
      <c r="A1030" s="66" t="s">
        <v>1205</v>
      </c>
      <c r="B1030" s="67"/>
      <c r="C1030" s="67"/>
      <c r="D1030" s="68"/>
      <c r="E1030" s="70"/>
      <c r="F1030" s="100" t="str">
        <f>HYPERLINK("https://i.ytimg.com/vi/XIXvKKEQQJo/default.jpg")</f>
        <v>https://i.ytimg.com/vi/XIXvKKEQQJo/default.jpg</v>
      </c>
      <c r="G1030" s="67"/>
      <c r="H1030" s="71"/>
      <c r="I1030" s="72"/>
      <c r="J1030" s="72"/>
      <c r="K1030" s="71" t="s">
        <v>2258</v>
      </c>
      <c r="L1030" s="75"/>
      <c r="M1030" s="76">
        <v>5703.5966796875</v>
      </c>
      <c r="N1030" s="76">
        <v>603.0086059570312</v>
      </c>
      <c r="O1030" s="77"/>
      <c r="P1030" s="78"/>
      <c r="Q1030" s="78"/>
      <c r="R1030" s="82"/>
      <c r="S1030" s="82"/>
      <c r="T1030" s="82"/>
      <c r="U1030" s="82"/>
      <c r="V1030" s="52"/>
      <c r="W1030" s="52"/>
      <c r="X1030" s="52"/>
      <c r="Y1030" s="52"/>
      <c r="Z1030" s="51"/>
      <c r="AA1030" s="73">
        <v>1030</v>
      </c>
      <c r="AB1030" s="73"/>
      <c r="AC1030" s="74"/>
      <c r="AD1030" s="80" t="s">
        <v>2258</v>
      </c>
      <c r="AE1030" s="80" t="s">
        <v>3152</v>
      </c>
      <c r="AF1030" s="80" t="s">
        <v>3846</v>
      </c>
      <c r="AG1030" s="80" t="s">
        <v>3884</v>
      </c>
      <c r="AH1030" s="80" t="s">
        <v>5583</v>
      </c>
      <c r="AI1030" s="80">
        <v>1075636</v>
      </c>
      <c r="AJ1030" s="80">
        <v>414</v>
      </c>
      <c r="AK1030" s="80">
        <v>22071</v>
      </c>
      <c r="AL1030" s="80">
        <v>381</v>
      </c>
      <c r="AM1030" s="80" t="s">
        <v>5614</v>
      </c>
      <c r="AN1030" s="102" t="str">
        <f>HYPERLINK("https://www.youtube.com/watch?v=XIXvKKEQQJo")</f>
        <v>https://www.youtube.com/watch?v=XIXvKKEQQJo</v>
      </c>
      <c r="AO1030" s="2"/>
      <c r="AP1030" s="3"/>
      <c r="AQ1030" s="3"/>
      <c r="AR1030" s="3"/>
      <c r="AS1030" s="3"/>
    </row>
    <row r="1031" spans="1:45" ht="15">
      <c r="A1031" s="66" t="s">
        <v>1206</v>
      </c>
      <c r="B1031" s="67"/>
      <c r="C1031" s="67"/>
      <c r="D1031" s="68"/>
      <c r="E1031" s="70"/>
      <c r="F1031" s="100" t="str">
        <f>HYPERLINK("https://i.ytimg.com/vi/dFv0dUshY_8/default.jpg")</f>
        <v>https://i.ytimg.com/vi/dFv0dUshY_8/default.jpg</v>
      </c>
      <c r="G1031" s="67"/>
      <c r="H1031" s="71"/>
      <c r="I1031" s="72"/>
      <c r="J1031" s="72"/>
      <c r="K1031" s="71" t="s">
        <v>2259</v>
      </c>
      <c r="L1031" s="75"/>
      <c r="M1031" s="76">
        <v>5692.40576171875</v>
      </c>
      <c r="N1031" s="76">
        <v>598.2109985351562</v>
      </c>
      <c r="O1031" s="77"/>
      <c r="P1031" s="78"/>
      <c r="Q1031" s="78"/>
      <c r="R1031" s="82"/>
      <c r="S1031" s="82"/>
      <c r="T1031" s="82"/>
      <c r="U1031" s="82"/>
      <c r="V1031" s="52"/>
      <c r="W1031" s="52"/>
      <c r="X1031" s="52"/>
      <c r="Y1031" s="52"/>
      <c r="Z1031" s="51"/>
      <c r="AA1031" s="73">
        <v>1031</v>
      </c>
      <c r="AB1031" s="73"/>
      <c r="AC1031" s="74"/>
      <c r="AD1031" s="80" t="s">
        <v>2259</v>
      </c>
      <c r="AE1031" s="80" t="s">
        <v>3153</v>
      </c>
      <c r="AF1031" s="80" t="s">
        <v>3847</v>
      </c>
      <c r="AG1031" s="80" t="s">
        <v>3884</v>
      </c>
      <c r="AH1031" s="80" t="s">
        <v>5584</v>
      </c>
      <c r="AI1031" s="80">
        <v>334221</v>
      </c>
      <c r="AJ1031" s="80">
        <v>171</v>
      </c>
      <c r="AK1031" s="80">
        <v>5816</v>
      </c>
      <c r="AL1031" s="80">
        <v>226</v>
      </c>
      <c r="AM1031" s="80" t="s">
        <v>5614</v>
      </c>
      <c r="AN1031" s="102" t="str">
        <f>HYPERLINK("https://www.youtube.com/watch?v=dFv0dUshY_8")</f>
        <v>https://www.youtube.com/watch?v=dFv0dUshY_8</v>
      </c>
      <c r="AO1031" s="2"/>
      <c r="AP1031" s="3"/>
      <c r="AQ1031" s="3"/>
      <c r="AR1031" s="3"/>
      <c r="AS1031" s="3"/>
    </row>
    <row r="1032" spans="1:45" ht="15">
      <c r="A1032" s="66" t="s">
        <v>1207</v>
      </c>
      <c r="B1032" s="67"/>
      <c r="C1032" s="67"/>
      <c r="D1032" s="68"/>
      <c r="E1032" s="70"/>
      <c r="F1032" s="100" t="str">
        <f>HYPERLINK("https://i.ytimg.com/vi/WX4a8Lpy504/default.jpg")</f>
        <v>https://i.ytimg.com/vi/WX4a8Lpy504/default.jpg</v>
      </c>
      <c r="G1032" s="67"/>
      <c r="H1032" s="71"/>
      <c r="I1032" s="72"/>
      <c r="J1032" s="72"/>
      <c r="K1032" s="71" t="s">
        <v>2260</v>
      </c>
      <c r="L1032" s="75"/>
      <c r="M1032" s="76">
        <v>5416.36376953125</v>
      </c>
      <c r="N1032" s="76">
        <v>700.4999389648438</v>
      </c>
      <c r="O1032" s="77"/>
      <c r="P1032" s="78"/>
      <c r="Q1032" s="78"/>
      <c r="R1032" s="82"/>
      <c r="S1032" s="82"/>
      <c r="T1032" s="82"/>
      <c r="U1032" s="82"/>
      <c r="V1032" s="52"/>
      <c r="W1032" s="52"/>
      <c r="X1032" s="52"/>
      <c r="Y1032" s="52"/>
      <c r="Z1032" s="51"/>
      <c r="AA1032" s="73">
        <v>1032</v>
      </c>
      <c r="AB1032" s="73"/>
      <c r="AC1032" s="74"/>
      <c r="AD1032" s="80" t="s">
        <v>2260</v>
      </c>
      <c r="AE1032" s="80" t="s">
        <v>3154</v>
      </c>
      <c r="AF1032" s="80" t="s">
        <v>3848</v>
      </c>
      <c r="AG1032" s="80" t="s">
        <v>3884</v>
      </c>
      <c r="AH1032" s="80" t="s">
        <v>5585</v>
      </c>
      <c r="AI1032" s="80">
        <v>337618</v>
      </c>
      <c r="AJ1032" s="80">
        <v>110</v>
      </c>
      <c r="AK1032" s="80">
        <v>3747</v>
      </c>
      <c r="AL1032" s="80">
        <v>125</v>
      </c>
      <c r="AM1032" s="80" t="s">
        <v>5614</v>
      </c>
      <c r="AN1032" s="102" t="str">
        <f>HYPERLINK("https://www.youtube.com/watch?v=WX4a8Lpy504")</f>
        <v>https://www.youtube.com/watch?v=WX4a8Lpy504</v>
      </c>
      <c r="AO1032" s="2"/>
      <c r="AP1032" s="3"/>
      <c r="AQ1032" s="3"/>
      <c r="AR1032" s="3"/>
      <c r="AS1032" s="3"/>
    </row>
    <row r="1033" spans="1:45" ht="15">
      <c r="A1033" s="66" t="s">
        <v>1208</v>
      </c>
      <c r="B1033" s="67"/>
      <c r="C1033" s="67"/>
      <c r="D1033" s="68"/>
      <c r="E1033" s="70"/>
      <c r="F1033" s="100" t="str">
        <f>HYPERLINK("https://i.ytimg.com/vi/fE8y9V-XyWw/default.jpg")</f>
        <v>https://i.ytimg.com/vi/fE8y9V-XyWw/default.jpg</v>
      </c>
      <c r="G1033" s="67"/>
      <c r="H1033" s="71"/>
      <c r="I1033" s="72"/>
      <c r="J1033" s="72"/>
      <c r="K1033" s="71" t="s">
        <v>2261</v>
      </c>
      <c r="L1033" s="75"/>
      <c r="M1033" s="76">
        <v>5725.25390625</v>
      </c>
      <c r="N1033" s="76">
        <v>763.0801391601562</v>
      </c>
      <c r="O1033" s="77"/>
      <c r="P1033" s="78"/>
      <c r="Q1033" s="78"/>
      <c r="R1033" s="82"/>
      <c r="S1033" s="82"/>
      <c r="T1033" s="82"/>
      <c r="U1033" s="82"/>
      <c r="V1033" s="52"/>
      <c r="W1033" s="52"/>
      <c r="X1033" s="52"/>
      <c r="Y1033" s="52"/>
      <c r="Z1033" s="51"/>
      <c r="AA1033" s="73">
        <v>1033</v>
      </c>
      <c r="AB1033" s="73"/>
      <c r="AC1033" s="74"/>
      <c r="AD1033" s="80" t="s">
        <v>2261</v>
      </c>
      <c r="AE1033" s="80" t="s">
        <v>3155</v>
      </c>
      <c r="AF1033" s="80" t="s">
        <v>3849</v>
      </c>
      <c r="AG1033" s="80" t="s">
        <v>3884</v>
      </c>
      <c r="AH1033" s="80" t="s">
        <v>5586</v>
      </c>
      <c r="AI1033" s="80">
        <v>1459505</v>
      </c>
      <c r="AJ1033" s="80">
        <v>438</v>
      </c>
      <c r="AK1033" s="80">
        <v>26627</v>
      </c>
      <c r="AL1033" s="80">
        <v>843</v>
      </c>
      <c r="AM1033" s="80" t="s">
        <v>5614</v>
      </c>
      <c r="AN1033" s="102" t="str">
        <f>HYPERLINK("https://www.youtube.com/watch?v=fE8y9V-XyWw")</f>
        <v>https://www.youtube.com/watch?v=fE8y9V-XyWw</v>
      </c>
      <c r="AO1033" s="2"/>
      <c r="AP1033" s="3"/>
      <c r="AQ1033" s="3"/>
      <c r="AR1033" s="3"/>
      <c r="AS1033" s="3"/>
    </row>
    <row r="1034" spans="1:45" ht="15">
      <c r="A1034" s="66" t="s">
        <v>1209</v>
      </c>
      <c r="B1034" s="67"/>
      <c r="C1034" s="67"/>
      <c r="D1034" s="68"/>
      <c r="E1034" s="70"/>
      <c r="F1034" s="100" t="str">
        <f>HYPERLINK("https://i.ytimg.com/vi/dsCdCISZXY4/default.jpg")</f>
        <v>https://i.ytimg.com/vi/dsCdCISZXY4/default.jpg</v>
      </c>
      <c r="G1034" s="67"/>
      <c r="H1034" s="71"/>
      <c r="I1034" s="72"/>
      <c r="J1034" s="72"/>
      <c r="K1034" s="71" t="s">
        <v>2262</v>
      </c>
      <c r="L1034" s="75"/>
      <c r="M1034" s="76">
        <v>6659.23681640625</v>
      </c>
      <c r="N1034" s="76">
        <v>4647.2451171875</v>
      </c>
      <c r="O1034" s="77"/>
      <c r="P1034" s="78"/>
      <c r="Q1034" s="78"/>
      <c r="R1034" s="82"/>
      <c r="S1034" s="82"/>
      <c r="T1034" s="82"/>
      <c r="U1034" s="82"/>
      <c r="V1034" s="52"/>
      <c r="W1034" s="52"/>
      <c r="X1034" s="52"/>
      <c r="Y1034" s="52"/>
      <c r="Z1034" s="51"/>
      <c r="AA1034" s="73">
        <v>1034</v>
      </c>
      <c r="AB1034" s="73"/>
      <c r="AC1034" s="74"/>
      <c r="AD1034" s="80" t="s">
        <v>2262</v>
      </c>
      <c r="AE1034" s="80" t="s">
        <v>3156</v>
      </c>
      <c r="AF1034" s="80" t="s">
        <v>3850</v>
      </c>
      <c r="AG1034" s="80" t="s">
        <v>4540</v>
      </c>
      <c r="AH1034" s="80" t="s">
        <v>5587</v>
      </c>
      <c r="AI1034" s="80">
        <v>670</v>
      </c>
      <c r="AJ1034" s="80">
        <v>0</v>
      </c>
      <c r="AK1034" s="80">
        <v>23</v>
      </c>
      <c r="AL1034" s="80">
        <v>1</v>
      </c>
      <c r="AM1034" s="80" t="s">
        <v>5614</v>
      </c>
      <c r="AN1034" s="102" t="str">
        <f>HYPERLINK("https://www.youtube.com/watch?v=dsCdCISZXY4")</f>
        <v>https://www.youtube.com/watch?v=dsCdCISZXY4</v>
      </c>
      <c r="AO1034" s="2"/>
      <c r="AP1034" s="3"/>
      <c r="AQ1034" s="3"/>
      <c r="AR1034" s="3"/>
      <c r="AS1034" s="3"/>
    </row>
    <row r="1035" spans="1:45" ht="15">
      <c r="A1035" s="66" t="s">
        <v>1210</v>
      </c>
      <c r="B1035" s="67"/>
      <c r="C1035" s="67"/>
      <c r="D1035" s="68"/>
      <c r="E1035" s="70"/>
      <c r="F1035" s="100" t="str">
        <f>HYPERLINK("https://i.ytimg.com/vi/o_0QKUjmEB0/default.jpg")</f>
        <v>https://i.ytimg.com/vi/o_0QKUjmEB0/default.jpg</v>
      </c>
      <c r="G1035" s="67"/>
      <c r="H1035" s="71"/>
      <c r="I1035" s="72"/>
      <c r="J1035" s="72"/>
      <c r="K1035" s="71" t="s">
        <v>2263</v>
      </c>
      <c r="L1035" s="75"/>
      <c r="M1035" s="76">
        <v>7179.91796875</v>
      </c>
      <c r="N1035" s="76">
        <v>4330.12353515625</v>
      </c>
      <c r="O1035" s="77"/>
      <c r="P1035" s="78"/>
      <c r="Q1035" s="78"/>
      <c r="R1035" s="82"/>
      <c r="S1035" s="82"/>
      <c r="T1035" s="82"/>
      <c r="U1035" s="82"/>
      <c r="V1035" s="52"/>
      <c r="W1035" s="52"/>
      <c r="X1035" s="52"/>
      <c r="Y1035" s="52"/>
      <c r="Z1035" s="51"/>
      <c r="AA1035" s="73">
        <v>1035</v>
      </c>
      <c r="AB1035" s="73"/>
      <c r="AC1035" s="74"/>
      <c r="AD1035" s="80" t="s">
        <v>2263</v>
      </c>
      <c r="AE1035" s="80"/>
      <c r="AF1035" s="80"/>
      <c r="AG1035" s="80" t="s">
        <v>4541</v>
      </c>
      <c r="AH1035" s="80" t="s">
        <v>5588</v>
      </c>
      <c r="AI1035" s="80">
        <v>14888</v>
      </c>
      <c r="AJ1035" s="80">
        <v>29</v>
      </c>
      <c r="AK1035" s="80">
        <v>254</v>
      </c>
      <c r="AL1035" s="80">
        <v>15</v>
      </c>
      <c r="AM1035" s="80" t="s">
        <v>5614</v>
      </c>
      <c r="AN1035" s="102" t="str">
        <f>HYPERLINK("https://www.youtube.com/watch?v=o_0QKUjmEB0")</f>
        <v>https://www.youtube.com/watch?v=o_0QKUjmEB0</v>
      </c>
      <c r="AO1035" s="2"/>
      <c r="AP1035" s="3"/>
      <c r="AQ1035" s="3"/>
      <c r="AR1035" s="3"/>
      <c r="AS1035" s="3"/>
    </row>
    <row r="1036" spans="1:45" ht="15">
      <c r="A1036" s="66" t="s">
        <v>1211</v>
      </c>
      <c r="B1036" s="67"/>
      <c r="C1036" s="67"/>
      <c r="D1036" s="68"/>
      <c r="E1036" s="70"/>
      <c r="F1036" s="100" t="str">
        <f>HYPERLINK("https://i.ytimg.com/vi/EwJ4NKkDOnk/default.jpg")</f>
        <v>https://i.ytimg.com/vi/EwJ4NKkDOnk/default.jpg</v>
      </c>
      <c r="G1036" s="67"/>
      <c r="H1036" s="71"/>
      <c r="I1036" s="72"/>
      <c r="J1036" s="72"/>
      <c r="K1036" s="71" t="s">
        <v>2264</v>
      </c>
      <c r="L1036" s="75"/>
      <c r="M1036" s="76">
        <v>6425.810546875</v>
      </c>
      <c r="N1036" s="76">
        <v>4674.8359375</v>
      </c>
      <c r="O1036" s="77"/>
      <c r="P1036" s="78"/>
      <c r="Q1036" s="78"/>
      <c r="R1036" s="82"/>
      <c r="S1036" s="82"/>
      <c r="T1036" s="82"/>
      <c r="U1036" s="82"/>
      <c r="V1036" s="52"/>
      <c r="W1036" s="52"/>
      <c r="X1036" s="52"/>
      <c r="Y1036" s="52"/>
      <c r="Z1036" s="51"/>
      <c r="AA1036" s="73">
        <v>1036</v>
      </c>
      <c r="AB1036" s="73"/>
      <c r="AC1036" s="74"/>
      <c r="AD1036" s="80" t="s">
        <v>2264</v>
      </c>
      <c r="AE1036" s="80" t="s">
        <v>3157</v>
      </c>
      <c r="AF1036" s="80" t="s">
        <v>3851</v>
      </c>
      <c r="AG1036" s="80" t="s">
        <v>4542</v>
      </c>
      <c r="AH1036" s="80" t="s">
        <v>5589</v>
      </c>
      <c r="AI1036" s="80">
        <v>35401</v>
      </c>
      <c r="AJ1036" s="80">
        <v>23</v>
      </c>
      <c r="AK1036" s="80">
        <v>768</v>
      </c>
      <c r="AL1036" s="80">
        <v>31</v>
      </c>
      <c r="AM1036" s="80" t="s">
        <v>5614</v>
      </c>
      <c r="AN1036" s="102" t="str">
        <f>HYPERLINK("https://www.youtube.com/watch?v=EwJ4NKkDOnk")</f>
        <v>https://www.youtube.com/watch?v=EwJ4NKkDOnk</v>
      </c>
      <c r="AO1036" s="2"/>
      <c r="AP1036" s="3"/>
      <c r="AQ1036" s="3"/>
      <c r="AR1036" s="3"/>
      <c r="AS1036" s="3"/>
    </row>
    <row r="1037" spans="1:45" ht="15">
      <c r="A1037" s="66" t="s">
        <v>1212</v>
      </c>
      <c r="B1037" s="67"/>
      <c r="C1037" s="67"/>
      <c r="D1037" s="68"/>
      <c r="E1037" s="70"/>
      <c r="F1037" s="100" t="str">
        <f>HYPERLINK("https://i.ytimg.com/vi/wqwbjXJ0mbc/default.jpg")</f>
        <v>https://i.ytimg.com/vi/wqwbjXJ0mbc/default.jpg</v>
      </c>
      <c r="G1037" s="67"/>
      <c r="H1037" s="71"/>
      <c r="I1037" s="72"/>
      <c r="J1037" s="72"/>
      <c r="K1037" s="71" t="s">
        <v>2265</v>
      </c>
      <c r="L1037" s="75"/>
      <c r="M1037" s="76">
        <v>6220.14990234375</v>
      </c>
      <c r="N1037" s="76">
        <v>3989.0791015625</v>
      </c>
      <c r="O1037" s="77"/>
      <c r="P1037" s="78"/>
      <c r="Q1037" s="78"/>
      <c r="R1037" s="82"/>
      <c r="S1037" s="82"/>
      <c r="T1037" s="82"/>
      <c r="U1037" s="82"/>
      <c r="V1037" s="52"/>
      <c r="W1037" s="52"/>
      <c r="X1037" s="52"/>
      <c r="Y1037" s="52"/>
      <c r="Z1037" s="51"/>
      <c r="AA1037" s="73">
        <v>1037</v>
      </c>
      <c r="AB1037" s="73"/>
      <c r="AC1037" s="74"/>
      <c r="AD1037" s="80" t="s">
        <v>2265</v>
      </c>
      <c r="AE1037" s="80" t="s">
        <v>3158</v>
      </c>
      <c r="AF1037" s="80" t="s">
        <v>3852</v>
      </c>
      <c r="AG1037" s="80" t="s">
        <v>4275</v>
      </c>
      <c r="AH1037" s="80" t="s">
        <v>5590</v>
      </c>
      <c r="AI1037" s="80">
        <v>1431</v>
      </c>
      <c r="AJ1037" s="80">
        <v>0</v>
      </c>
      <c r="AK1037" s="80">
        <v>71</v>
      </c>
      <c r="AL1037" s="80">
        <v>3</v>
      </c>
      <c r="AM1037" s="80" t="s">
        <v>5614</v>
      </c>
      <c r="AN1037" s="102" t="str">
        <f>HYPERLINK("https://www.youtube.com/watch?v=wqwbjXJ0mbc")</f>
        <v>https://www.youtube.com/watch?v=wqwbjXJ0mbc</v>
      </c>
      <c r="AO1037" s="2"/>
      <c r="AP1037" s="3"/>
      <c r="AQ1037" s="3"/>
      <c r="AR1037" s="3"/>
      <c r="AS1037" s="3"/>
    </row>
    <row r="1038" spans="1:45" ht="15">
      <c r="A1038" s="66" t="s">
        <v>1213</v>
      </c>
      <c r="B1038" s="67"/>
      <c r="C1038" s="67"/>
      <c r="D1038" s="68"/>
      <c r="E1038" s="70"/>
      <c r="F1038" s="100" t="str">
        <f>HYPERLINK("https://i.ytimg.com/vi/7DSE0grb-k4/default.jpg")</f>
        <v>https://i.ytimg.com/vi/7DSE0grb-k4/default.jpg</v>
      </c>
      <c r="G1038" s="67"/>
      <c r="H1038" s="71"/>
      <c r="I1038" s="72"/>
      <c r="J1038" s="72"/>
      <c r="K1038" s="71" t="s">
        <v>2266</v>
      </c>
      <c r="L1038" s="75"/>
      <c r="M1038" s="76">
        <v>6640.00341796875</v>
      </c>
      <c r="N1038" s="76">
        <v>4405.236328125</v>
      </c>
      <c r="O1038" s="77"/>
      <c r="P1038" s="78"/>
      <c r="Q1038" s="78"/>
      <c r="R1038" s="82"/>
      <c r="S1038" s="82"/>
      <c r="T1038" s="82"/>
      <c r="U1038" s="82"/>
      <c r="V1038" s="52"/>
      <c r="W1038" s="52"/>
      <c r="X1038" s="52"/>
      <c r="Y1038" s="52"/>
      <c r="Z1038" s="51"/>
      <c r="AA1038" s="73">
        <v>1038</v>
      </c>
      <c r="AB1038" s="73"/>
      <c r="AC1038" s="74"/>
      <c r="AD1038" s="80" t="s">
        <v>2266</v>
      </c>
      <c r="AE1038" s="80" t="s">
        <v>3159</v>
      </c>
      <c r="AF1038" s="80" t="s">
        <v>3853</v>
      </c>
      <c r="AG1038" s="80" t="s">
        <v>3884</v>
      </c>
      <c r="AH1038" s="80" t="s">
        <v>5591</v>
      </c>
      <c r="AI1038" s="80">
        <v>41609</v>
      </c>
      <c r="AJ1038" s="80">
        <v>16</v>
      </c>
      <c r="AK1038" s="80">
        <v>634</v>
      </c>
      <c r="AL1038" s="80">
        <v>26</v>
      </c>
      <c r="AM1038" s="80" t="s">
        <v>5614</v>
      </c>
      <c r="AN1038" s="102" t="str">
        <f>HYPERLINK("https://www.youtube.com/watch?v=7DSE0grb-k4")</f>
        <v>https://www.youtube.com/watch?v=7DSE0grb-k4</v>
      </c>
      <c r="AO1038" s="2"/>
      <c r="AP1038" s="3"/>
      <c r="AQ1038" s="3"/>
      <c r="AR1038" s="3"/>
      <c r="AS1038" s="3"/>
    </row>
    <row r="1039" spans="1:45" ht="15">
      <c r="A1039" s="66" t="s">
        <v>1214</v>
      </c>
      <c r="B1039" s="67"/>
      <c r="C1039" s="67"/>
      <c r="D1039" s="68"/>
      <c r="E1039" s="70"/>
      <c r="F1039" s="100" t="str">
        <f>HYPERLINK("https://i.ytimg.com/vi/66ltSEPc55E/default.jpg")</f>
        <v>https://i.ytimg.com/vi/66ltSEPc55E/default.jpg</v>
      </c>
      <c r="G1039" s="67"/>
      <c r="H1039" s="71"/>
      <c r="I1039" s="72"/>
      <c r="J1039" s="72"/>
      <c r="K1039" s="71" t="s">
        <v>2267</v>
      </c>
      <c r="L1039" s="75"/>
      <c r="M1039" s="76">
        <v>6558.01123046875</v>
      </c>
      <c r="N1039" s="76">
        <v>4559.31689453125</v>
      </c>
      <c r="O1039" s="77"/>
      <c r="P1039" s="78"/>
      <c r="Q1039" s="78"/>
      <c r="R1039" s="82"/>
      <c r="S1039" s="82"/>
      <c r="T1039" s="82"/>
      <c r="U1039" s="82"/>
      <c r="V1039" s="52"/>
      <c r="W1039" s="52"/>
      <c r="X1039" s="52"/>
      <c r="Y1039" s="52"/>
      <c r="Z1039" s="51"/>
      <c r="AA1039" s="73">
        <v>1039</v>
      </c>
      <c r="AB1039" s="73"/>
      <c r="AC1039" s="74"/>
      <c r="AD1039" s="80" t="s">
        <v>2267</v>
      </c>
      <c r="AE1039" s="80" t="s">
        <v>3160</v>
      </c>
      <c r="AF1039" s="80" t="s">
        <v>3854</v>
      </c>
      <c r="AG1039" s="80" t="s">
        <v>3876</v>
      </c>
      <c r="AH1039" s="80" t="s">
        <v>5592</v>
      </c>
      <c r="AI1039" s="80">
        <v>5416</v>
      </c>
      <c r="AJ1039" s="80">
        <v>17</v>
      </c>
      <c r="AK1039" s="80">
        <v>122</v>
      </c>
      <c r="AL1039" s="80">
        <v>10</v>
      </c>
      <c r="AM1039" s="80" t="s">
        <v>5614</v>
      </c>
      <c r="AN1039" s="102" t="str">
        <f>HYPERLINK("https://www.youtube.com/watch?v=66ltSEPc55E")</f>
        <v>https://www.youtube.com/watch?v=66ltSEPc55E</v>
      </c>
      <c r="AO1039" s="2"/>
      <c r="AP1039" s="3"/>
      <c r="AQ1039" s="3"/>
      <c r="AR1039" s="3"/>
      <c r="AS1039" s="3"/>
    </row>
    <row r="1040" spans="1:45" ht="15">
      <c r="A1040" s="66" t="s">
        <v>1215</v>
      </c>
      <c r="B1040" s="67"/>
      <c r="C1040" s="67"/>
      <c r="D1040" s="68"/>
      <c r="E1040" s="70"/>
      <c r="F1040" s="100" t="str">
        <f>HYPERLINK("https://i.ytimg.com/vi/ZElQufsv27U/default.jpg")</f>
        <v>https://i.ytimg.com/vi/ZElQufsv27U/default.jpg</v>
      </c>
      <c r="G1040" s="67"/>
      <c r="H1040" s="71"/>
      <c r="I1040" s="72"/>
      <c r="J1040" s="72"/>
      <c r="K1040" s="71" t="s">
        <v>2268</v>
      </c>
      <c r="L1040" s="75"/>
      <c r="M1040" s="76">
        <v>7155.36767578125</v>
      </c>
      <c r="N1040" s="76">
        <v>4246.44287109375</v>
      </c>
      <c r="O1040" s="77"/>
      <c r="P1040" s="78"/>
      <c r="Q1040" s="78"/>
      <c r="R1040" s="82"/>
      <c r="S1040" s="82"/>
      <c r="T1040" s="82"/>
      <c r="U1040" s="82"/>
      <c r="V1040" s="52"/>
      <c r="W1040" s="52"/>
      <c r="X1040" s="52"/>
      <c r="Y1040" s="52"/>
      <c r="Z1040" s="51"/>
      <c r="AA1040" s="73">
        <v>1040</v>
      </c>
      <c r="AB1040" s="73"/>
      <c r="AC1040" s="74"/>
      <c r="AD1040" s="80" t="s">
        <v>2268</v>
      </c>
      <c r="AE1040" s="80" t="s">
        <v>3161</v>
      </c>
      <c r="AF1040" s="80" t="s">
        <v>3855</v>
      </c>
      <c r="AG1040" s="80" t="s">
        <v>4543</v>
      </c>
      <c r="AH1040" s="80" t="s">
        <v>5593</v>
      </c>
      <c r="AI1040" s="80">
        <v>3464894</v>
      </c>
      <c r="AJ1040" s="80">
        <v>508</v>
      </c>
      <c r="AK1040" s="80">
        <v>32945</v>
      </c>
      <c r="AL1040" s="80">
        <v>1173</v>
      </c>
      <c r="AM1040" s="80" t="s">
        <v>5614</v>
      </c>
      <c r="AN1040" s="102" t="str">
        <f>HYPERLINK("https://www.youtube.com/watch?v=ZElQufsv27U")</f>
        <v>https://www.youtube.com/watch?v=ZElQufsv27U</v>
      </c>
      <c r="AO1040" s="2"/>
      <c r="AP1040" s="3"/>
      <c r="AQ1040" s="3"/>
      <c r="AR1040" s="3"/>
      <c r="AS1040" s="3"/>
    </row>
    <row r="1041" spans="1:45" ht="15">
      <c r="A1041" s="66" t="s">
        <v>1216</v>
      </c>
      <c r="B1041" s="67"/>
      <c r="C1041" s="67"/>
      <c r="D1041" s="68"/>
      <c r="E1041" s="70"/>
      <c r="F1041" s="100" t="str">
        <f>HYPERLINK("https://i.ytimg.com/vi/7cNyER5LccU/default.jpg")</f>
        <v>https://i.ytimg.com/vi/7cNyER5LccU/default.jpg</v>
      </c>
      <c r="G1041" s="67"/>
      <c r="H1041" s="71"/>
      <c r="I1041" s="72"/>
      <c r="J1041" s="72"/>
      <c r="K1041" s="71" t="s">
        <v>2269</v>
      </c>
      <c r="L1041" s="75"/>
      <c r="M1041" s="76">
        <v>6624.58544921875</v>
      </c>
      <c r="N1041" s="76">
        <v>3930.4013671875</v>
      </c>
      <c r="O1041" s="77"/>
      <c r="P1041" s="78"/>
      <c r="Q1041" s="78"/>
      <c r="R1041" s="82"/>
      <c r="S1041" s="82"/>
      <c r="T1041" s="82"/>
      <c r="U1041" s="82"/>
      <c r="V1041" s="52"/>
      <c r="W1041" s="52"/>
      <c r="X1041" s="52"/>
      <c r="Y1041" s="52"/>
      <c r="Z1041" s="51"/>
      <c r="AA1041" s="73">
        <v>1041</v>
      </c>
      <c r="AB1041" s="73"/>
      <c r="AC1041" s="74"/>
      <c r="AD1041" s="80" t="s">
        <v>2269</v>
      </c>
      <c r="AE1041" s="80" t="s">
        <v>3162</v>
      </c>
      <c r="AF1041" s="80" t="s">
        <v>3856</v>
      </c>
      <c r="AG1041" s="80" t="s">
        <v>4245</v>
      </c>
      <c r="AH1041" s="80" t="s">
        <v>5594</v>
      </c>
      <c r="AI1041" s="80">
        <v>78832</v>
      </c>
      <c r="AJ1041" s="80">
        <v>57</v>
      </c>
      <c r="AK1041" s="80">
        <v>979</v>
      </c>
      <c r="AL1041" s="80">
        <v>44</v>
      </c>
      <c r="AM1041" s="80" t="s">
        <v>5614</v>
      </c>
      <c r="AN1041" s="102" t="str">
        <f>HYPERLINK("https://www.youtube.com/watch?v=7cNyER5LccU")</f>
        <v>https://www.youtube.com/watch?v=7cNyER5LccU</v>
      </c>
      <c r="AO1041" s="2"/>
      <c r="AP1041" s="3"/>
      <c r="AQ1041" s="3"/>
      <c r="AR1041" s="3"/>
      <c r="AS1041" s="3"/>
    </row>
    <row r="1042" spans="1:45" ht="15">
      <c r="A1042" s="66" t="s">
        <v>1217</v>
      </c>
      <c r="B1042" s="67"/>
      <c r="C1042" s="67"/>
      <c r="D1042" s="68"/>
      <c r="E1042" s="70"/>
      <c r="F1042" s="100" t="str">
        <f>HYPERLINK("https://i.ytimg.com/vi/A7s_xM5SL0s/default.jpg")</f>
        <v>https://i.ytimg.com/vi/A7s_xM5SL0s/default.jpg</v>
      </c>
      <c r="G1042" s="67"/>
      <c r="H1042" s="71"/>
      <c r="I1042" s="72"/>
      <c r="J1042" s="72"/>
      <c r="K1042" s="71" t="s">
        <v>2270</v>
      </c>
      <c r="L1042" s="75"/>
      <c r="M1042" s="76">
        <v>6648.84619140625</v>
      </c>
      <c r="N1042" s="76">
        <v>4581.326171875</v>
      </c>
      <c r="O1042" s="77"/>
      <c r="P1042" s="78"/>
      <c r="Q1042" s="78"/>
      <c r="R1042" s="82"/>
      <c r="S1042" s="82"/>
      <c r="T1042" s="82"/>
      <c r="U1042" s="82"/>
      <c r="V1042" s="52"/>
      <c r="W1042" s="52"/>
      <c r="X1042" s="52"/>
      <c r="Y1042" s="52"/>
      <c r="Z1042" s="51"/>
      <c r="AA1042" s="73">
        <v>1042</v>
      </c>
      <c r="AB1042" s="73"/>
      <c r="AC1042" s="74"/>
      <c r="AD1042" s="80" t="s">
        <v>2270</v>
      </c>
      <c r="AE1042" s="80" t="s">
        <v>3163</v>
      </c>
      <c r="AF1042" s="80"/>
      <c r="AG1042" s="80" t="s">
        <v>4544</v>
      </c>
      <c r="AH1042" s="80" t="s">
        <v>5595</v>
      </c>
      <c r="AI1042" s="80">
        <v>2550</v>
      </c>
      <c r="AJ1042" s="80">
        <v>1</v>
      </c>
      <c r="AK1042" s="80">
        <v>5</v>
      </c>
      <c r="AL1042" s="80">
        <v>1</v>
      </c>
      <c r="AM1042" s="80" t="s">
        <v>5614</v>
      </c>
      <c r="AN1042" s="102" t="str">
        <f>HYPERLINK("https://www.youtube.com/watch?v=A7s_xM5SL0s")</f>
        <v>https://www.youtube.com/watch?v=A7s_xM5SL0s</v>
      </c>
      <c r="AO1042" s="2"/>
      <c r="AP1042" s="3"/>
      <c r="AQ1042" s="3"/>
      <c r="AR1042" s="3"/>
      <c r="AS1042" s="3"/>
    </row>
    <row r="1043" spans="1:45" ht="15">
      <c r="A1043" s="66" t="s">
        <v>1218</v>
      </c>
      <c r="B1043" s="67"/>
      <c r="C1043" s="67"/>
      <c r="D1043" s="68"/>
      <c r="E1043" s="70"/>
      <c r="F1043" s="100" t="str">
        <f>HYPERLINK("https://i.ytimg.com/vi/oBUd8P5_Bqw/default.jpg")</f>
        <v>https://i.ytimg.com/vi/oBUd8P5_Bqw/default.jpg</v>
      </c>
      <c r="G1043" s="67"/>
      <c r="H1043" s="71"/>
      <c r="I1043" s="72"/>
      <c r="J1043" s="72"/>
      <c r="K1043" s="71" t="s">
        <v>2271</v>
      </c>
      <c r="L1043" s="75"/>
      <c r="M1043" s="76">
        <v>5876.69921875</v>
      </c>
      <c r="N1043" s="76">
        <v>4653.20849609375</v>
      </c>
      <c r="O1043" s="77"/>
      <c r="P1043" s="78"/>
      <c r="Q1043" s="78"/>
      <c r="R1043" s="82"/>
      <c r="S1043" s="82"/>
      <c r="T1043" s="82"/>
      <c r="U1043" s="82"/>
      <c r="V1043" s="52"/>
      <c r="W1043" s="52"/>
      <c r="X1043" s="52"/>
      <c r="Y1043" s="52"/>
      <c r="Z1043" s="51"/>
      <c r="AA1043" s="73">
        <v>1043</v>
      </c>
      <c r="AB1043" s="73"/>
      <c r="AC1043" s="74"/>
      <c r="AD1043" s="80" t="s">
        <v>2271</v>
      </c>
      <c r="AE1043" s="80" t="s">
        <v>3164</v>
      </c>
      <c r="AF1043" s="80"/>
      <c r="AG1043" s="80" t="s">
        <v>4545</v>
      </c>
      <c r="AH1043" s="80" t="s">
        <v>5596</v>
      </c>
      <c r="AI1043" s="80">
        <v>1047</v>
      </c>
      <c r="AJ1043" s="80">
        <v>3</v>
      </c>
      <c r="AK1043" s="80">
        <v>69</v>
      </c>
      <c r="AL1043" s="80">
        <v>2</v>
      </c>
      <c r="AM1043" s="80" t="s">
        <v>5614</v>
      </c>
      <c r="AN1043" s="102" t="str">
        <f>HYPERLINK("https://www.youtube.com/watch?v=oBUd8P5_Bqw")</f>
        <v>https://www.youtube.com/watch?v=oBUd8P5_Bqw</v>
      </c>
      <c r="AO1043" s="2"/>
      <c r="AP1043" s="3"/>
      <c r="AQ1043" s="3"/>
      <c r="AR1043" s="3"/>
      <c r="AS1043" s="3"/>
    </row>
    <row r="1044" spans="1:45" ht="15">
      <c r="A1044" s="66" t="s">
        <v>1219</v>
      </c>
      <c r="B1044" s="67"/>
      <c r="C1044" s="67"/>
      <c r="D1044" s="68"/>
      <c r="E1044" s="70"/>
      <c r="F1044" s="100" t="str">
        <f>HYPERLINK("https://i.ytimg.com/vi/8h2INPoPA7A/default.jpg")</f>
        <v>https://i.ytimg.com/vi/8h2INPoPA7A/default.jpg</v>
      </c>
      <c r="G1044" s="67"/>
      <c r="H1044" s="71"/>
      <c r="I1044" s="72"/>
      <c r="J1044" s="72"/>
      <c r="K1044" s="71" t="s">
        <v>2272</v>
      </c>
      <c r="L1044" s="75"/>
      <c r="M1044" s="76">
        <v>5644.0078125</v>
      </c>
      <c r="N1044" s="76">
        <v>3845.78271484375</v>
      </c>
      <c r="O1044" s="77"/>
      <c r="P1044" s="78"/>
      <c r="Q1044" s="78"/>
      <c r="R1044" s="82"/>
      <c r="S1044" s="82"/>
      <c r="T1044" s="82"/>
      <c r="U1044" s="82"/>
      <c r="V1044" s="52"/>
      <c r="W1044" s="52"/>
      <c r="X1044" s="52"/>
      <c r="Y1044" s="52"/>
      <c r="Z1044" s="51"/>
      <c r="AA1044" s="73">
        <v>1044</v>
      </c>
      <c r="AB1044" s="73"/>
      <c r="AC1044" s="74"/>
      <c r="AD1044" s="80" t="s">
        <v>2272</v>
      </c>
      <c r="AE1044" s="80" t="s">
        <v>3165</v>
      </c>
      <c r="AF1044" s="80" t="s">
        <v>3857</v>
      </c>
      <c r="AG1044" s="80" t="s">
        <v>3899</v>
      </c>
      <c r="AH1044" s="80" t="s">
        <v>5597</v>
      </c>
      <c r="AI1044" s="80">
        <v>21225</v>
      </c>
      <c r="AJ1044" s="80">
        <v>3</v>
      </c>
      <c r="AK1044" s="80">
        <v>408</v>
      </c>
      <c r="AL1044" s="80">
        <v>8</v>
      </c>
      <c r="AM1044" s="80" t="s">
        <v>5614</v>
      </c>
      <c r="AN1044" s="102" t="str">
        <f>HYPERLINK("https://www.youtube.com/watch?v=8h2INPoPA7A")</f>
        <v>https://www.youtube.com/watch?v=8h2INPoPA7A</v>
      </c>
      <c r="AO1044" s="2"/>
      <c r="AP1044" s="3"/>
      <c r="AQ1044" s="3"/>
      <c r="AR1044" s="3"/>
      <c r="AS1044" s="3"/>
    </row>
    <row r="1045" spans="1:45" ht="15">
      <c r="A1045" s="66" t="s">
        <v>1220</v>
      </c>
      <c r="B1045" s="67"/>
      <c r="C1045" s="67"/>
      <c r="D1045" s="68"/>
      <c r="E1045" s="70"/>
      <c r="F1045" s="100" t="str">
        <f>HYPERLINK("https://i.ytimg.com/vi/g_bIs7eRnKI/default.jpg")</f>
        <v>https://i.ytimg.com/vi/g_bIs7eRnKI/default.jpg</v>
      </c>
      <c r="G1045" s="67"/>
      <c r="H1045" s="71"/>
      <c r="I1045" s="72"/>
      <c r="J1045" s="72"/>
      <c r="K1045" s="71" t="s">
        <v>2273</v>
      </c>
      <c r="L1045" s="75"/>
      <c r="M1045" s="76">
        <v>6928.9091796875</v>
      </c>
      <c r="N1045" s="76">
        <v>4534.1376953125</v>
      </c>
      <c r="O1045" s="77"/>
      <c r="P1045" s="78"/>
      <c r="Q1045" s="78"/>
      <c r="R1045" s="82"/>
      <c r="S1045" s="82"/>
      <c r="T1045" s="82"/>
      <c r="U1045" s="82"/>
      <c r="V1045" s="52"/>
      <c r="W1045" s="52"/>
      <c r="X1045" s="52"/>
      <c r="Y1045" s="52"/>
      <c r="Z1045" s="51"/>
      <c r="AA1045" s="73">
        <v>1045</v>
      </c>
      <c r="AB1045" s="73"/>
      <c r="AC1045" s="74"/>
      <c r="AD1045" s="80" t="s">
        <v>2273</v>
      </c>
      <c r="AE1045" s="80"/>
      <c r="AF1045" s="80"/>
      <c r="AG1045" s="80" t="s">
        <v>4546</v>
      </c>
      <c r="AH1045" s="80" t="s">
        <v>5598</v>
      </c>
      <c r="AI1045" s="80">
        <v>41491</v>
      </c>
      <c r="AJ1045" s="80">
        <v>174</v>
      </c>
      <c r="AK1045" s="80">
        <v>3324</v>
      </c>
      <c r="AL1045" s="80">
        <v>41</v>
      </c>
      <c r="AM1045" s="80" t="s">
        <v>5614</v>
      </c>
      <c r="AN1045" s="102" t="str">
        <f>HYPERLINK("https://www.youtube.com/watch?v=g_bIs7eRnKI")</f>
        <v>https://www.youtube.com/watch?v=g_bIs7eRnKI</v>
      </c>
      <c r="AO1045" s="2"/>
      <c r="AP1045" s="3"/>
      <c r="AQ1045" s="3"/>
      <c r="AR1045" s="3"/>
      <c r="AS1045" s="3"/>
    </row>
    <row r="1046" spans="1:45" ht="15">
      <c r="A1046" s="66" t="s">
        <v>1221</v>
      </c>
      <c r="B1046" s="67"/>
      <c r="C1046" s="67"/>
      <c r="D1046" s="68"/>
      <c r="E1046" s="70"/>
      <c r="F1046" s="100" t="str">
        <f>HYPERLINK("https://i.ytimg.com/vi/BuFIatLXjQ8/default.jpg")</f>
        <v>https://i.ytimg.com/vi/BuFIatLXjQ8/default.jpg</v>
      </c>
      <c r="G1046" s="67"/>
      <c r="H1046" s="71"/>
      <c r="I1046" s="72"/>
      <c r="J1046" s="72"/>
      <c r="K1046" s="71" t="s">
        <v>2274</v>
      </c>
      <c r="L1046" s="75"/>
      <c r="M1046" s="76">
        <v>6497.6806640625</v>
      </c>
      <c r="N1046" s="76">
        <v>4615.05224609375</v>
      </c>
      <c r="O1046" s="77"/>
      <c r="P1046" s="78"/>
      <c r="Q1046" s="78"/>
      <c r="R1046" s="82"/>
      <c r="S1046" s="82"/>
      <c r="T1046" s="82"/>
      <c r="U1046" s="82"/>
      <c r="V1046" s="52"/>
      <c r="W1046" s="52"/>
      <c r="X1046" s="52"/>
      <c r="Y1046" s="52"/>
      <c r="Z1046" s="51"/>
      <c r="AA1046" s="73">
        <v>1046</v>
      </c>
      <c r="AB1046" s="73"/>
      <c r="AC1046" s="74"/>
      <c r="AD1046" s="80" t="s">
        <v>2274</v>
      </c>
      <c r="AE1046" s="80" t="s">
        <v>3166</v>
      </c>
      <c r="AF1046" s="80" t="s">
        <v>3858</v>
      </c>
      <c r="AG1046" s="80" t="s">
        <v>4547</v>
      </c>
      <c r="AH1046" s="80" t="s">
        <v>5599</v>
      </c>
      <c r="AI1046" s="80">
        <v>33843</v>
      </c>
      <c r="AJ1046" s="80">
        <v>18</v>
      </c>
      <c r="AK1046" s="80">
        <v>415</v>
      </c>
      <c r="AL1046" s="80">
        <v>17</v>
      </c>
      <c r="AM1046" s="80" t="s">
        <v>5614</v>
      </c>
      <c r="AN1046" s="102" t="str">
        <f>HYPERLINK("https://www.youtube.com/watch?v=BuFIatLXjQ8")</f>
        <v>https://www.youtube.com/watch?v=BuFIatLXjQ8</v>
      </c>
      <c r="AO1046" s="2"/>
      <c r="AP1046" s="3"/>
      <c r="AQ1046" s="3"/>
      <c r="AR1046" s="3"/>
      <c r="AS1046" s="3"/>
    </row>
    <row r="1047" spans="1:45" ht="15">
      <c r="A1047" s="66" t="s">
        <v>1222</v>
      </c>
      <c r="B1047" s="67"/>
      <c r="C1047" s="67"/>
      <c r="D1047" s="68"/>
      <c r="E1047" s="70"/>
      <c r="F1047" s="100" t="str">
        <f>HYPERLINK("https://i.ytimg.com/vi/nDN2H2el4YQ/default.jpg")</f>
        <v>https://i.ytimg.com/vi/nDN2H2el4YQ/default.jpg</v>
      </c>
      <c r="G1047" s="67"/>
      <c r="H1047" s="71"/>
      <c r="I1047" s="72"/>
      <c r="J1047" s="72"/>
      <c r="K1047" s="71" t="s">
        <v>2275</v>
      </c>
      <c r="L1047" s="75"/>
      <c r="M1047" s="76">
        <v>6936.85693359375</v>
      </c>
      <c r="N1047" s="76">
        <v>4450.43212890625</v>
      </c>
      <c r="O1047" s="77"/>
      <c r="P1047" s="78"/>
      <c r="Q1047" s="78"/>
      <c r="R1047" s="82"/>
      <c r="S1047" s="82"/>
      <c r="T1047" s="82"/>
      <c r="U1047" s="82"/>
      <c r="V1047" s="52"/>
      <c r="W1047" s="52"/>
      <c r="X1047" s="52"/>
      <c r="Y1047" s="52"/>
      <c r="Z1047" s="51"/>
      <c r="AA1047" s="73">
        <v>1047</v>
      </c>
      <c r="AB1047" s="73"/>
      <c r="AC1047" s="74"/>
      <c r="AD1047" s="80" t="s">
        <v>2275</v>
      </c>
      <c r="AE1047" s="80" t="s">
        <v>3167</v>
      </c>
      <c r="AF1047" s="80"/>
      <c r="AG1047" s="80" t="s">
        <v>4548</v>
      </c>
      <c r="AH1047" s="80" t="s">
        <v>5600</v>
      </c>
      <c r="AI1047" s="80">
        <v>4784</v>
      </c>
      <c r="AJ1047" s="80">
        <v>2</v>
      </c>
      <c r="AK1047" s="80">
        <v>61</v>
      </c>
      <c r="AL1047" s="80">
        <v>3</v>
      </c>
      <c r="AM1047" s="80" t="s">
        <v>5614</v>
      </c>
      <c r="AN1047" s="102" t="str">
        <f>HYPERLINK("https://www.youtube.com/watch?v=nDN2H2el4YQ")</f>
        <v>https://www.youtube.com/watch?v=nDN2H2el4YQ</v>
      </c>
      <c r="AO1047" s="2"/>
      <c r="AP1047" s="3"/>
      <c r="AQ1047" s="3"/>
      <c r="AR1047" s="3"/>
      <c r="AS1047" s="3"/>
    </row>
    <row r="1048" spans="1:45" ht="15">
      <c r="A1048" s="66" t="s">
        <v>1223</v>
      </c>
      <c r="B1048" s="67"/>
      <c r="C1048" s="67"/>
      <c r="D1048" s="68"/>
      <c r="E1048" s="70"/>
      <c r="F1048" s="100" t="str">
        <f>HYPERLINK("https://i.ytimg.com/vi/TLRQgRyGJBU/default.jpg")</f>
        <v>https://i.ytimg.com/vi/TLRQgRyGJBU/default.jpg</v>
      </c>
      <c r="G1048" s="67"/>
      <c r="H1048" s="71"/>
      <c r="I1048" s="72"/>
      <c r="J1048" s="72"/>
      <c r="K1048" s="71" t="s">
        <v>2276</v>
      </c>
      <c r="L1048" s="75"/>
      <c r="M1048" s="76">
        <v>7115.08251953125</v>
      </c>
      <c r="N1048" s="76">
        <v>4221.02001953125</v>
      </c>
      <c r="O1048" s="77"/>
      <c r="P1048" s="78"/>
      <c r="Q1048" s="78"/>
      <c r="R1048" s="82"/>
      <c r="S1048" s="82"/>
      <c r="T1048" s="82"/>
      <c r="U1048" s="82"/>
      <c r="V1048" s="52"/>
      <c r="W1048" s="52"/>
      <c r="X1048" s="52"/>
      <c r="Y1048" s="52"/>
      <c r="Z1048" s="51"/>
      <c r="AA1048" s="73">
        <v>1048</v>
      </c>
      <c r="AB1048" s="73"/>
      <c r="AC1048" s="74"/>
      <c r="AD1048" s="80" t="s">
        <v>2276</v>
      </c>
      <c r="AE1048" s="80" t="s">
        <v>3168</v>
      </c>
      <c r="AF1048" s="80" t="s">
        <v>3859</v>
      </c>
      <c r="AG1048" s="80" t="s">
        <v>4133</v>
      </c>
      <c r="AH1048" s="80" t="s">
        <v>5601</v>
      </c>
      <c r="AI1048" s="80">
        <v>1040975</v>
      </c>
      <c r="AJ1048" s="80">
        <v>955</v>
      </c>
      <c r="AK1048" s="80">
        <v>23911</v>
      </c>
      <c r="AL1048" s="80">
        <v>652</v>
      </c>
      <c r="AM1048" s="80" t="s">
        <v>5614</v>
      </c>
      <c r="AN1048" s="102" t="str">
        <f>HYPERLINK("https://www.youtube.com/watch?v=TLRQgRyGJBU")</f>
        <v>https://www.youtube.com/watch?v=TLRQgRyGJBU</v>
      </c>
      <c r="AO1048" s="2"/>
      <c r="AP1048" s="3"/>
      <c r="AQ1048" s="3"/>
      <c r="AR1048" s="3"/>
      <c r="AS1048" s="3"/>
    </row>
    <row r="1049" spans="1:45" ht="15">
      <c r="A1049" s="66" t="s">
        <v>1224</v>
      </c>
      <c r="B1049" s="67"/>
      <c r="C1049" s="67"/>
      <c r="D1049" s="68"/>
      <c r="E1049" s="70"/>
      <c r="F1049" s="100" t="str">
        <f>HYPERLINK("https://i.ytimg.com/vi/lJ0oRGIkKQs/default.jpg")</f>
        <v>https://i.ytimg.com/vi/lJ0oRGIkKQs/default.jpg</v>
      </c>
      <c r="G1049" s="67"/>
      <c r="H1049" s="71"/>
      <c r="I1049" s="72"/>
      <c r="J1049" s="72"/>
      <c r="K1049" s="71" t="s">
        <v>2277</v>
      </c>
      <c r="L1049" s="75"/>
      <c r="M1049" s="76">
        <v>5625.8056640625</v>
      </c>
      <c r="N1049" s="76">
        <v>4652.701171875</v>
      </c>
      <c r="O1049" s="77"/>
      <c r="P1049" s="78"/>
      <c r="Q1049" s="78"/>
      <c r="R1049" s="82"/>
      <c r="S1049" s="82"/>
      <c r="T1049" s="82"/>
      <c r="U1049" s="82"/>
      <c r="V1049" s="52"/>
      <c r="W1049" s="52"/>
      <c r="X1049" s="52"/>
      <c r="Y1049" s="52"/>
      <c r="Z1049" s="51"/>
      <c r="AA1049" s="73">
        <v>1049</v>
      </c>
      <c r="AB1049" s="73"/>
      <c r="AC1049" s="74"/>
      <c r="AD1049" s="80" t="s">
        <v>2277</v>
      </c>
      <c r="AE1049" s="80" t="s">
        <v>3169</v>
      </c>
      <c r="AF1049" s="80" t="s">
        <v>3860</v>
      </c>
      <c r="AG1049" s="80" t="s">
        <v>4420</v>
      </c>
      <c r="AH1049" s="80" t="s">
        <v>5602</v>
      </c>
      <c r="AI1049" s="80">
        <v>2683540</v>
      </c>
      <c r="AJ1049" s="80">
        <v>1551</v>
      </c>
      <c r="AK1049" s="80">
        <v>55567</v>
      </c>
      <c r="AL1049" s="80">
        <v>1923</v>
      </c>
      <c r="AM1049" s="80" t="s">
        <v>5614</v>
      </c>
      <c r="AN1049" s="102" t="str">
        <f>HYPERLINK("https://www.youtube.com/watch?v=lJ0oRGIkKQs")</f>
        <v>https://www.youtube.com/watch?v=lJ0oRGIkKQs</v>
      </c>
      <c r="AO1049" s="2"/>
      <c r="AP1049" s="3"/>
      <c r="AQ1049" s="3"/>
      <c r="AR1049" s="3"/>
      <c r="AS1049" s="3"/>
    </row>
    <row r="1050" spans="1:45" ht="15">
      <c r="A1050" s="66" t="s">
        <v>1225</v>
      </c>
      <c r="B1050" s="67"/>
      <c r="C1050" s="67"/>
      <c r="D1050" s="68"/>
      <c r="E1050" s="70"/>
      <c r="F1050" s="100" t="str">
        <f>HYPERLINK("https://i.ytimg.com/vi/YMwTFrgRNZY/default.jpg")</f>
        <v>https://i.ytimg.com/vi/YMwTFrgRNZY/default.jpg</v>
      </c>
      <c r="G1050" s="67"/>
      <c r="H1050" s="71"/>
      <c r="I1050" s="72"/>
      <c r="J1050" s="72"/>
      <c r="K1050" s="71" t="s">
        <v>2278</v>
      </c>
      <c r="L1050" s="75"/>
      <c r="M1050" s="76">
        <v>7081.001953125</v>
      </c>
      <c r="N1050" s="76">
        <v>4349.298828125</v>
      </c>
      <c r="O1050" s="77"/>
      <c r="P1050" s="78"/>
      <c r="Q1050" s="78"/>
      <c r="R1050" s="82"/>
      <c r="S1050" s="82"/>
      <c r="T1050" s="82"/>
      <c r="U1050" s="82"/>
      <c r="V1050" s="52"/>
      <c r="W1050" s="52"/>
      <c r="X1050" s="52"/>
      <c r="Y1050" s="52"/>
      <c r="Z1050" s="51"/>
      <c r="AA1050" s="73">
        <v>1050</v>
      </c>
      <c r="AB1050" s="73"/>
      <c r="AC1050" s="74"/>
      <c r="AD1050" s="80" t="s">
        <v>2278</v>
      </c>
      <c r="AE1050" s="80" t="s">
        <v>3170</v>
      </c>
      <c r="AF1050" s="80" t="s">
        <v>3861</v>
      </c>
      <c r="AG1050" s="80" t="s">
        <v>4107</v>
      </c>
      <c r="AH1050" s="80" t="s">
        <v>5603</v>
      </c>
      <c r="AI1050" s="80">
        <v>388731</v>
      </c>
      <c r="AJ1050" s="80">
        <v>165</v>
      </c>
      <c r="AK1050" s="80">
        <v>5350</v>
      </c>
      <c r="AL1050" s="80">
        <v>245</v>
      </c>
      <c r="AM1050" s="80" t="s">
        <v>5614</v>
      </c>
      <c r="AN1050" s="102" t="str">
        <f>HYPERLINK("https://www.youtube.com/watch?v=YMwTFrgRNZY")</f>
        <v>https://www.youtube.com/watch?v=YMwTFrgRNZY</v>
      </c>
      <c r="AO1050" s="2"/>
      <c r="AP1050" s="3"/>
      <c r="AQ1050" s="3"/>
      <c r="AR1050" s="3"/>
      <c r="AS1050" s="3"/>
    </row>
    <row r="1051" spans="1:45" ht="15">
      <c r="A1051" s="66" t="s">
        <v>1226</v>
      </c>
      <c r="B1051" s="67"/>
      <c r="C1051" s="67"/>
      <c r="D1051" s="68"/>
      <c r="E1051" s="70"/>
      <c r="F1051" s="100" t="str">
        <f>HYPERLINK("https://i.ytimg.com/vi/Oi6drX_q86E/default.jpg")</f>
        <v>https://i.ytimg.com/vi/Oi6drX_q86E/default.jpg</v>
      </c>
      <c r="G1051" s="67"/>
      <c r="H1051" s="71"/>
      <c r="I1051" s="72"/>
      <c r="J1051" s="72"/>
      <c r="K1051" s="71" t="s">
        <v>2279</v>
      </c>
      <c r="L1051" s="75"/>
      <c r="M1051" s="76">
        <v>6628.1357421875</v>
      </c>
      <c r="N1051" s="76">
        <v>4291.978515625</v>
      </c>
      <c r="O1051" s="77"/>
      <c r="P1051" s="78"/>
      <c r="Q1051" s="78"/>
      <c r="R1051" s="82"/>
      <c r="S1051" s="82"/>
      <c r="T1051" s="82"/>
      <c r="U1051" s="82"/>
      <c r="V1051" s="52"/>
      <c r="W1051" s="52"/>
      <c r="X1051" s="52"/>
      <c r="Y1051" s="52"/>
      <c r="Z1051" s="51"/>
      <c r="AA1051" s="73">
        <v>1051</v>
      </c>
      <c r="AB1051" s="73"/>
      <c r="AC1051" s="74"/>
      <c r="AD1051" s="80" t="s">
        <v>2279</v>
      </c>
      <c r="AE1051" s="80" t="s">
        <v>3171</v>
      </c>
      <c r="AF1051" s="80" t="s">
        <v>3862</v>
      </c>
      <c r="AG1051" s="80" t="s">
        <v>4549</v>
      </c>
      <c r="AH1051" s="80" t="s">
        <v>5604</v>
      </c>
      <c r="AI1051" s="80">
        <v>79941</v>
      </c>
      <c r="AJ1051" s="80">
        <v>104</v>
      </c>
      <c r="AK1051" s="80">
        <v>1394</v>
      </c>
      <c r="AL1051" s="80">
        <v>44</v>
      </c>
      <c r="AM1051" s="80" t="s">
        <v>5614</v>
      </c>
      <c r="AN1051" s="102" t="str">
        <f>HYPERLINK("https://www.youtube.com/watch?v=Oi6drX_q86E")</f>
        <v>https://www.youtube.com/watch?v=Oi6drX_q86E</v>
      </c>
      <c r="AO1051" s="2"/>
      <c r="AP1051" s="3"/>
      <c r="AQ1051" s="3"/>
      <c r="AR1051" s="3"/>
      <c r="AS1051" s="3"/>
    </row>
    <row r="1052" spans="1:45" ht="15">
      <c r="A1052" s="66" t="s">
        <v>1227</v>
      </c>
      <c r="B1052" s="67"/>
      <c r="C1052" s="67"/>
      <c r="D1052" s="68"/>
      <c r="E1052" s="70"/>
      <c r="F1052" s="100" t="str">
        <f>HYPERLINK("https://i.ytimg.com/vi/c09rRKP8TB4/default.jpg")</f>
        <v>https://i.ytimg.com/vi/c09rRKP8TB4/default.jpg</v>
      </c>
      <c r="G1052" s="67"/>
      <c r="H1052" s="71"/>
      <c r="I1052" s="72"/>
      <c r="J1052" s="72"/>
      <c r="K1052" s="71" t="s">
        <v>2280</v>
      </c>
      <c r="L1052" s="75"/>
      <c r="M1052" s="76">
        <v>6586.80224609375</v>
      </c>
      <c r="N1052" s="76">
        <v>4480.24755859375</v>
      </c>
      <c r="O1052" s="77"/>
      <c r="P1052" s="78"/>
      <c r="Q1052" s="78"/>
      <c r="R1052" s="82"/>
      <c r="S1052" s="82"/>
      <c r="T1052" s="82"/>
      <c r="U1052" s="82"/>
      <c r="V1052" s="52"/>
      <c r="W1052" s="52"/>
      <c r="X1052" s="52"/>
      <c r="Y1052" s="52"/>
      <c r="Z1052" s="51"/>
      <c r="AA1052" s="73">
        <v>1052</v>
      </c>
      <c r="AB1052" s="73"/>
      <c r="AC1052" s="74"/>
      <c r="AD1052" s="80" t="s">
        <v>2280</v>
      </c>
      <c r="AE1052" s="80"/>
      <c r="AF1052" s="80"/>
      <c r="AG1052" s="80" t="s">
        <v>4550</v>
      </c>
      <c r="AH1052" s="80" t="s">
        <v>5605</v>
      </c>
      <c r="AI1052" s="80">
        <v>899</v>
      </c>
      <c r="AJ1052" s="80">
        <v>0</v>
      </c>
      <c r="AK1052" s="80">
        <v>27</v>
      </c>
      <c r="AL1052" s="80">
        <v>0</v>
      </c>
      <c r="AM1052" s="80" t="s">
        <v>5614</v>
      </c>
      <c r="AN1052" s="102" t="str">
        <f>HYPERLINK("https://www.youtube.com/watch?v=c09rRKP8TB4")</f>
        <v>https://www.youtube.com/watch?v=c09rRKP8TB4</v>
      </c>
      <c r="AO1052" s="2"/>
      <c r="AP1052" s="3"/>
      <c r="AQ1052" s="3"/>
      <c r="AR1052" s="3"/>
      <c r="AS1052" s="3"/>
    </row>
    <row r="1053" spans="1:45" ht="15">
      <c r="A1053" s="66" t="s">
        <v>1228</v>
      </c>
      <c r="B1053" s="67"/>
      <c r="C1053" s="67"/>
      <c r="D1053" s="68"/>
      <c r="E1053" s="70"/>
      <c r="F1053" s="100" t="str">
        <f>HYPERLINK("https://i.ytimg.com/vi/itCM5-uV_D4/default.jpg")</f>
        <v>https://i.ytimg.com/vi/itCM5-uV_D4/default.jpg</v>
      </c>
      <c r="G1053" s="67"/>
      <c r="H1053" s="71"/>
      <c r="I1053" s="72"/>
      <c r="J1053" s="72"/>
      <c r="K1053" s="71" t="s">
        <v>2281</v>
      </c>
      <c r="L1053" s="75"/>
      <c r="M1053" s="76">
        <v>7069.72998046875</v>
      </c>
      <c r="N1053" s="76">
        <v>4129.98681640625</v>
      </c>
      <c r="O1053" s="77"/>
      <c r="P1053" s="78"/>
      <c r="Q1053" s="78"/>
      <c r="R1053" s="82"/>
      <c r="S1053" s="82"/>
      <c r="T1053" s="82"/>
      <c r="U1053" s="82"/>
      <c r="V1053" s="52"/>
      <c r="W1053" s="52"/>
      <c r="X1053" s="52"/>
      <c r="Y1053" s="52"/>
      <c r="Z1053" s="51"/>
      <c r="AA1053" s="73">
        <v>1053</v>
      </c>
      <c r="AB1053" s="73"/>
      <c r="AC1053" s="74"/>
      <c r="AD1053" s="80" t="s">
        <v>2281</v>
      </c>
      <c r="AE1053" s="80" t="s">
        <v>3172</v>
      </c>
      <c r="AF1053" s="80" t="s">
        <v>3863</v>
      </c>
      <c r="AG1053" s="80" t="s">
        <v>4514</v>
      </c>
      <c r="AH1053" s="80" t="s">
        <v>5606</v>
      </c>
      <c r="AI1053" s="80">
        <v>649</v>
      </c>
      <c r="AJ1053" s="80">
        <v>0</v>
      </c>
      <c r="AK1053" s="80">
        <v>40</v>
      </c>
      <c r="AL1053" s="80">
        <v>1</v>
      </c>
      <c r="AM1053" s="80" t="s">
        <v>5614</v>
      </c>
      <c r="AN1053" s="102" t="str">
        <f>HYPERLINK("https://www.youtube.com/watch?v=itCM5-uV_D4")</f>
        <v>https://www.youtube.com/watch?v=itCM5-uV_D4</v>
      </c>
      <c r="AO1053" s="2"/>
      <c r="AP1053" s="3"/>
      <c r="AQ1053" s="3"/>
      <c r="AR1053" s="3"/>
      <c r="AS1053" s="3"/>
    </row>
    <row r="1054" spans="1:45" ht="15">
      <c r="A1054" s="66" t="s">
        <v>1229</v>
      </c>
      <c r="B1054" s="67"/>
      <c r="C1054" s="67"/>
      <c r="D1054" s="68"/>
      <c r="E1054" s="70"/>
      <c r="F1054" s="100" t="str">
        <f>HYPERLINK("https://i.ytimg.com/vi/NvsnpmEoXCk/default.jpg")</f>
        <v>https://i.ytimg.com/vi/NvsnpmEoXCk/default.jpg</v>
      </c>
      <c r="G1054" s="67"/>
      <c r="H1054" s="71"/>
      <c r="I1054" s="72"/>
      <c r="J1054" s="72"/>
      <c r="K1054" s="71" t="s">
        <v>2282</v>
      </c>
      <c r="L1054" s="75"/>
      <c r="M1054" s="76">
        <v>6731.12060546875</v>
      </c>
      <c r="N1054" s="76">
        <v>4388.763671875</v>
      </c>
      <c r="O1054" s="77"/>
      <c r="P1054" s="78"/>
      <c r="Q1054" s="78"/>
      <c r="R1054" s="82"/>
      <c r="S1054" s="82"/>
      <c r="T1054" s="82"/>
      <c r="U1054" s="82"/>
      <c r="V1054" s="52"/>
      <c r="W1054" s="52"/>
      <c r="X1054" s="52"/>
      <c r="Y1054" s="52"/>
      <c r="Z1054" s="51"/>
      <c r="AA1054" s="73">
        <v>1054</v>
      </c>
      <c r="AB1054" s="73"/>
      <c r="AC1054" s="74"/>
      <c r="AD1054" s="80" t="s">
        <v>2282</v>
      </c>
      <c r="AE1054" s="80" t="s">
        <v>3173</v>
      </c>
      <c r="AF1054" s="80" t="s">
        <v>3864</v>
      </c>
      <c r="AG1054" s="80" t="s">
        <v>4551</v>
      </c>
      <c r="AH1054" s="80" t="s">
        <v>5607</v>
      </c>
      <c r="AI1054" s="80">
        <v>5405</v>
      </c>
      <c r="AJ1054" s="80">
        <v>16</v>
      </c>
      <c r="AK1054" s="80">
        <v>165</v>
      </c>
      <c r="AL1054" s="80">
        <v>4</v>
      </c>
      <c r="AM1054" s="80" t="s">
        <v>5614</v>
      </c>
      <c r="AN1054" s="102" t="str">
        <f>HYPERLINK("https://www.youtube.com/watch?v=NvsnpmEoXCk")</f>
        <v>https://www.youtube.com/watch?v=NvsnpmEoXCk</v>
      </c>
      <c r="AO1054" s="2"/>
      <c r="AP1054" s="3"/>
      <c r="AQ1054" s="3"/>
      <c r="AR1054" s="3"/>
      <c r="AS1054" s="3"/>
    </row>
    <row r="1055" spans="1:45" ht="15">
      <c r="A1055" s="66" t="s">
        <v>1230</v>
      </c>
      <c r="B1055" s="67"/>
      <c r="C1055" s="67"/>
      <c r="D1055" s="68"/>
      <c r="E1055" s="70"/>
      <c r="F1055" s="100" t="str">
        <f>HYPERLINK("https://i.ytimg.com/vi/Akkf2QecpTw/default.jpg")</f>
        <v>https://i.ytimg.com/vi/Akkf2QecpTw/default.jpg</v>
      </c>
      <c r="G1055" s="67"/>
      <c r="H1055" s="71"/>
      <c r="I1055" s="72"/>
      <c r="J1055" s="72"/>
      <c r="K1055" s="71" t="s">
        <v>2283</v>
      </c>
      <c r="L1055" s="75"/>
      <c r="M1055" s="76">
        <v>6825.5283203125</v>
      </c>
      <c r="N1055" s="76">
        <v>4535.1171875</v>
      </c>
      <c r="O1055" s="77"/>
      <c r="P1055" s="78"/>
      <c r="Q1055" s="78"/>
      <c r="R1055" s="82"/>
      <c r="S1055" s="82"/>
      <c r="T1055" s="82"/>
      <c r="U1055" s="82"/>
      <c r="V1055" s="52"/>
      <c r="W1055" s="52"/>
      <c r="X1055" s="52"/>
      <c r="Y1055" s="52"/>
      <c r="Z1055" s="51"/>
      <c r="AA1055" s="73">
        <v>1055</v>
      </c>
      <c r="AB1055" s="73"/>
      <c r="AC1055" s="74"/>
      <c r="AD1055" s="80" t="s">
        <v>2283</v>
      </c>
      <c r="AE1055" s="80" t="s">
        <v>3174</v>
      </c>
      <c r="AF1055" s="80"/>
      <c r="AG1055" s="80" t="s">
        <v>4478</v>
      </c>
      <c r="AH1055" s="80" t="s">
        <v>5608</v>
      </c>
      <c r="AI1055" s="80">
        <v>52992</v>
      </c>
      <c r="AJ1055" s="80">
        <v>103</v>
      </c>
      <c r="AK1055" s="80">
        <v>1390</v>
      </c>
      <c r="AL1055" s="80">
        <v>32</v>
      </c>
      <c r="AM1055" s="80" t="s">
        <v>5614</v>
      </c>
      <c r="AN1055" s="102" t="str">
        <f>HYPERLINK("https://www.youtube.com/watch?v=Akkf2QecpTw")</f>
        <v>https://www.youtube.com/watch?v=Akkf2QecpTw</v>
      </c>
      <c r="AO1055" s="2"/>
      <c r="AP1055" s="3"/>
      <c r="AQ1055" s="3"/>
      <c r="AR1055" s="3"/>
      <c r="AS1055" s="3"/>
    </row>
    <row r="1056" spans="1:45" ht="15">
      <c r="A1056" s="66" t="s">
        <v>1231</v>
      </c>
      <c r="B1056" s="67"/>
      <c r="C1056" s="67"/>
      <c r="D1056" s="68"/>
      <c r="E1056" s="70"/>
      <c r="F1056" s="100" t="str">
        <f>HYPERLINK("https://i.ytimg.com/vi/HXoFYkWB3C4/default.jpg")</f>
        <v>https://i.ytimg.com/vi/HXoFYkWB3C4/default.jpg</v>
      </c>
      <c r="G1056" s="67"/>
      <c r="H1056" s="71"/>
      <c r="I1056" s="72"/>
      <c r="J1056" s="72"/>
      <c r="K1056" s="71" t="s">
        <v>2284</v>
      </c>
      <c r="L1056" s="75"/>
      <c r="M1056" s="76">
        <v>7162.71484375</v>
      </c>
      <c r="N1056" s="76">
        <v>4115.4072265625</v>
      </c>
      <c r="O1056" s="77"/>
      <c r="P1056" s="78"/>
      <c r="Q1056" s="78"/>
      <c r="R1056" s="82"/>
      <c r="S1056" s="82"/>
      <c r="T1056" s="82"/>
      <c r="U1056" s="82"/>
      <c r="V1056" s="52"/>
      <c r="W1056" s="52"/>
      <c r="X1056" s="52"/>
      <c r="Y1056" s="52"/>
      <c r="Z1056" s="51"/>
      <c r="AA1056" s="73">
        <v>1056</v>
      </c>
      <c r="AB1056" s="73"/>
      <c r="AC1056" s="74"/>
      <c r="AD1056" s="80" t="s">
        <v>2284</v>
      </c>
      <c r="AE1056" s="80" t="s">
        <v>3175</v>
      </c>
      <c r="AF1056" s="80"/>
      <c r="AG1056" s="80" t="s">
        <v>4552</v>
      </c>
      <c r="AH1056" s="80" t="s">
        <v>5609</v>
      </c>
      <c r="AI1056" s="80">
        <v>2485</v>
      </c>
      <c r="AJ1056" s="80">
        <v>0</v>
      </c>
      <c r="AK1056" s="80">
        <v>51</v>
      </c>
      <c r="AL1056" s="80">
        <v>0</v>
      </c>
      <c r="AM1056" s="80" t="s">
        <v>5614</v>
      </c>
      <c r="AN1056" s="102" t="str">
        <f>HYPERLINK("https://www.youtube.com/watch?v=HXoFYkWB3C4")</f>
        <v>https://www.youtube.com/watch?v=HXoFYkWB3C4</v>
      </c>
      <c r="AO1056" s="2"/>
      <c r="AP1056" s="3"/>
      <c r="AQ1056" s="3"/>
      <c r="AR1056" s="3"/>
      <c r="AS1056" s="3"/>
    </row>
    <row r="1057" spans="1:45" ht="15">
      <c r="A1057" s="66" t="s">
        <v>1232</v>
      </c>
      <c r="B1057" s="67"/>
      <c r="C1057" s="67"/>
      <c r="D1057" s="68"/>
      <c r="E1057" s="70"/>
      <c r="F1057" s="100" t="str">
        <f>HYPERLINK("https://i.ytimg.com/vi/rM5gr-UHAlo/default.jpg")</f>
        <v>https://i.ytimg.com/vi/rM5gr-UHAlo/default.jpg</v>
      </c>
      <c r="G1057" s="67"/>
      <c r="H1057" s="71"/>
      <c r="I1057" s="72"/>
      <c r="J1057" s="72"/>
      <c r="K1057" s="71" t="s">
        <v>2285</v>
      </c>
      <c r="L1057" s="75"/>
      <c r="M1057" s="76">
        <v>6858.25341796875</v>
      </c>
      <c r="N1057" s="76">
        <v>4310.11865234375</v>
      </c>
      <c r="O1057" s="77"/>
      <c r="P1057" s="78"/>
      <c r="Q1057" s="78"/>
      <c r="R1057" s="82"/>
      <c r="S1057" s="82"/>
      <c r="T1057" s="82"/>
      <c r="U1057" s="82"/>
      <c r="V1057" s="52"/>
      <c r="W1057" s="52"/>
      <c r="X1057" s="52"/>
      <c r="Y1057" s="52"/>
      <c r="Z1057" s="51"/>
      <c r="AA1057" s="73">
        <v>1057</v>
      </c>
      <c r="AB1057" s="73"/>
      <c r="AC1057" s="74"/>
      <c r="AD1057" s="80" t="s">
        <v>2285</v>
      </c>
      <c r="AE1057" s="80"/>
      <c r="AF1057" s="80" t="s">
        <v>3865</v>
      </c>
      <c r="AG1057" s="80" t="s">
        <v>4553</v>
      </c>
      <c r="AH1057" s="80" t="s">
        <v>5610</v>
      </c>
      <c r="AI1057" s="80">
        <v>1087667</v>
      </c>
      <c r="AJ1057" s="80">
        <v>514</v>
      </c>
      <c r="AK1057" s="80">
        <v>15856</v>
      </c>
      <c r="AL1057" s="80">
        <v>1041</v>
      </c>
      <c r="AM1057" s="80" t="s">
        <v>5614</v>
      </c>
      <c r="AN1057" s="102" t="str">
        <f>HYPERLINK("https://www.youtube.com/watch?v=rM5gr-UHAlo")</f>
        <v>https://www.youtube.com/watch?v=rM5gr-UHAlo</v>
      </c>
      <c r="AO1057" s="2"/>
      <c r="AP1057" s="3"/>
      <c r="AQ1057" s="3"/>
      <c r="AR1057" s="3"/>
      <c r="AS1057" s="3"/>
    </row>
    <row r="1058" spans="1:45" ht="15">
      <c r="A1058" s="66" t="s">
        <v>1233</v>
      </c>
      <c r="B1058" s="67"/>
      <c r="C1058" s="67"/>
      <c r="D1058" s="68"/>
      <c r="E1058" s="70"/>
      <c r="F1058" s="100" t="str">
        <f>HYPERLINK("https://i.ytimg.com/vi/_rZUJEQDQ_Q/default.jpg")</f>
        <v>https://i.ytimg.com/vi/_rZUJEQDQ_Q/default.jpg</v>
      </c>
      <c r="G1058" s="67"/>
      <c r="H1058" s="71"/>
      <c r="I1058" s="72"/>
      <c r="J1058" s="72"/>
      <c r="K1058" s="71" t="s">
        <v>2286</v>
      </c>
      <c r="L1058" s="75"/>
      <c r="M1058" s="76">
        <v>6852.97998046875</v>
      </c>
      <c r="N1058" s="76">
        <v>4366.60986328125</v>
      </c>
      <c r="O1058" s="77"/>
      <c r="P1058" s="78"/>
      <c r="Q1058" s="78"/>
      <c r="R1058" s="82"/>
      <c r="S1058" s="82"/>
      <c r="T1058" s="82"/>
      <c r="U1058" s="82"/>
      <c r="V1058" s="52"/>
      <c r="W1058" s="52"/>
      <c r="X1058" s="52"/>
      <c r="Y1058" s="52"/>
      <c r="Z1058" s="51"/>
      <c r="AA1058" s="73">
        <v>1058</v>
      </c>
      <c r="AB1058" s="73"/>
      <c r="AC1058" s="74"/>
      <c r="AD1058" s="80" t="s">
        <v>2286</v>
      </c>
      <c r="AE1058" s="80" t="s">
        <v>3176</v>
      </c>
      <c r="AF1058" s="80" t="s">
        <v>3866</v>
      </c>
      <c r="AG1058" s="80" t="s">
        <v>4554</v>
      </c>
      <c r="AH1058" s="80" t="s">
        <v>5611</v>
      </c>
      <c r="AI1058" s="80">
        <v>91016</v>
      </c>
      <c r="AJ1058" s="80">
        <v>0</v>
      </c>
      <c r="AK1058" s="80">
        <v>4871</v>
      </c>
      <c r="AL1058" s="80">
        <v>90</v>
      </c>
      <c r="AM1058" s="80" t="s">
        <v>5614</v>
      </c>
      <c r="AN1058" s="102" t="str">
        <f>HYPERLINK("https://www.youtube.com/watch?v=_rZUJEQDQ_Q")</f>
        <v>https://www.youtube.com/watch?v=_rZUJEQDQ_Q</v>
      </c>
      <c r="AO1058" s="2"/>
      <c r="AP1058" s="3"/>
      <c r="AQ1058" s="3"/>
      <c r="AR1058" s="3"/>
      <c r="AS1058" s="3"/>
    </row>
    <row r="1059" spans="1:45" ht="15">
      <c r="A1059" s="83" t="s">
        <v>1234</v>
      </c>
      <c r="B1059" s="84"/>
      <c r="C1059" s="84"/>
      <c r="D1059" s="85"/>
      <c r="E1059" s="86"/>
      <c r="F1059" s="101" t="str">
        <f>HYPERLINK("https://i.ytimg.com/vi/1co4qvuclPg/default.jpg")</f>
        <v>https://i.ytimg.com/vi/1co4qvuclPg/default.jpg</v>
      </c>
      <c r="G1059" s="84"/>
      <c r="H1059" s="87"/>
      <c r="I1059" s="88"/>
      <c r="J1059" s="88"/>
      <c r="K1059" s="87" t="s">
        <v>2287</v>
      </c>
      <c r="L1059" s="89"/>
      <c r="M1059" s="90">
        <v>6723.3076171875</v>
      </c>
      <c r="N1059" s="90">
        <v>4600.0927734375</v>
      </c>
      <c r="O1059" s="91"/>
      <c r="P1059" s="92"/>
      <c r="Q1059" s="92"/>
      <c r="R1059" s="93"/>
      <c r="S1059" s="93"/>
      <c r="T1059" s="93"/>
      <c r="U1059" s="93"/>
      <c r="V1059" s="94"/>
      <c r="W1059" s="94"/>
      <c r="X1059" s="94"/>
      <c r="Y1059" s="94"/>
      <c r="Z1059" s="95"/>
      <c r="AA1059" s="96">
        <v>1059</v>
      </c>
      <c r="AB1059" s="96"/>
      <c r="AC1059" s="97"/>
      <c r="AD1059" s="80" t="s">
        <v>2287</v>
      </c>
      <c r="AE1059" s="80"/>
      <c r="AF1059" s="80"/>
      <c r="AG1059" s="80" t="s">
        <v>4555</v>
      </c>
      <c r="AH1059" s="80" t="s">
        <v>5612</v>
      </c>
      <c r="AI1059" s="80">
        <v>715</v>
      </c>
      <c r="AJ1059" s="80">
        <v>0</v>
      </c>
      <c r="AK1059" s="80">
        <v>25</v>
      </c>
      <c r="AL1059" s="80">
        <v>2</v>
      </c>
      <c r="AM1059" s="80" t="s">
        <v>5614</v>
      </c>
      <c r="AN1059" s="102" t="str">
        <f>HYPERLINK("https://www.youtube.com/watch?v=1co4qvuclPg")</f>
        <v>https://www.youtube.com/watch?v=1co4qvuclPg</v>
      </c>
      <c r="AO1059" s="2"/>
      <c r="AP1059" s="3"/>
      <c r="AQ1059" s="3"/>
      <c r="AR1059" s="3"/>
      <c r="AS10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9"/>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9"/>
    <dataValidation allowBlank="1" showInputMessage="1" promptTitle="Vertex Tooltip" prompt="Enter optional text that will pop up when the mouse is hovered over the vertex." errorTitle="Invalid Vertex Image Key" sqref="K3:K10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9"/>
    <dataValidation allowBlank="1" showInputMessage="1" promptTitle="Vertex Label Fill Color" prompt="To select an optional fill color for the Label shape, right-click and select Select Color on the right-click menu." sqref="I3:I1059"/>
    <dataValidation allowBlank="1" showInputMessage="1" promptTitle="Vertex Image File" prompt="Enter the path to an image file.  Hover over the column header for examples." errorTitle="Invalid Vertex Image Key" sqref="F3:F1059"/>
    <dataValidation allowBlank="1" showInputMessage="1" promptTitle="Vertex Color" prompt="To select an optional vertex color, right-click and select Select Color on the right-click menu." sqref="B3:B1059"/>
    <dataValidation allowBlank="1" showInputMessage="1" promptTitle="Vertex Opacity" prompt="Enter an optional vertex opacity between 0 (transparent) and 100 (opaque)." errorTitle="Invalid Vertex Opacity" error="The optional vertex opacity must be a whole number between 0 and 10." sqref="E3:E1059"/>
    <dataValidation type="list" allowBlank="1" showInputMessage="1" showErrorMessage="1" promptTitle="Vertex Shape" prompt="Select an optional vertex shape." errorTitle="Invalid Vertex Shape" error="You have entered an invalid vertex shape.  Try selecting from the drop-down list instead." sqref="C3:C10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9">
      <formula1>ValidVertexLabelPositions</formula1>
    </dataValidation>
    <dataValidation allowBlank="1" showInputMessage="1" showErrorMessage="1" promptTitle="Vertex Name" prompt="Enter the name of the vertex." sqref="A3:A10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4:24" ht="15">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4:21" ht="15">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4:21" ht="1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4:21" ht="15">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5616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175</v>
      </c>
    </row>
    <row r="8" spans="1:11" ht="409.5">
      <c r="A8"/>
      <c r="B8">
        <v>2</v>
      </c>
      <c r="C8">
        <v>2</v>
      </c>
      <c r="D8" t="s">
        <v>61</v>
      </c>
      <c r="E8" t="s">
        <v>61</v>
      </c>
      <c r="H8" t="s">
        <v>73</v>
      </c>
      <c r="J8" t="s">
        <v>176</v>
      </c>
      <c r="K8" s="13" t="s">
        <v>5650</v>
      </c>
    </row>
    <row r="9" spans="1:11" ht="409.5">
      <c r="A9"/>
      <c r="B9">
        <v>3</v>
      </c>
      <c r="C9">
        <v>4</v>
      </c>
      <c r="D9" t="s">
        <v>62</v>
      </c>
      <c r="E9" t="s">
        <v>62</v>
      </c>
      <c r="H9" t="s">
        <v>74</v>
      </c>
      <c r="J9" t="s">
        <v>5617</v>
      </c>
      <c r="K9" s="13" t="s">
        <v>5634</v>
      </c>
    </row>
    <row r="10" spans="1:11" ht="409.5">
      <c r="A10"/>
      <c r="B10">
        <v>4</v>
      </c>
      <c r="D10" t="s">
        <v>63</v>
      </c>
      <c r="E10" t="s">
        <v>63</v>
      </c>
      <c r="H10" t="s">
        <v>75</v>
      </c>
      <c r="J10" t="s">
        <v>5618</v>
      </c>
      <c r="K10" s="13" t="s">
        <v>5635</v>
      </c>
    </row>
    <row r="11" spans="1:11" ht="409.5">
      <c r="A11"/>
      <c r="B11">
        <v>5</v>
      </c>
      <c r="D11" t="s">
        <v>46</v>
      </c>
      <c r="E11">
        <v>1</v>
      </c>
      <c r="H11" t="s">
        <v>76</v>
      </c>
      <c r="J11" t="s">
        <v>5619</v>
      </c>
      <c r="K11" s="13" t="s">
        <v>5636</v>
      </c>
    </row>
    <row r="12" spans="1:11" ht="409.5">
      <c r="A12"/>
      <c r="B12"/>
      <c r="D12" t="s">
        <v>64</v>
      </c>
      <c r="E12">
        <v>2</v>
      </c>
      <c r="H12">
        <v>0</v>
      </c>
      <c r="J12" t="s">
        <v>5620</v>
      </c>
      <c r="K12" s="13" t="s">
        <v>5637</v>
      </c>
    </row>
    <row r="13" spans="1:11" ht="15">
      <c r="A13"/>
      <c r="B13"/>
      <c r="D13">
        <v>1</v>
      </c>
      <c r="E13">
        <v>3</v>
      </c>
      <c r="H13">
        <v>1</v>
      </c>
      <c r="J13" t="s">
        <v>5621</v>
      </c>
      <c r="K13" t="s">
        <v>5638</v>
      </c>
    </row>
    <row r="14" spans="4:11" ht="15">
      <c r="D14">
        <v>2</v>
      </c>
      <c r="E14">
        <v>4</v>
      </c>
      <c r="H14">
        <v>2</v>
      </c>
      <c r="J14" t="s">
        <v>5622</v>
      </c>
      <c r="K14" t="s">
        <v>5639</v>
      </c>
    </row>
    <row r="15" spans="4:11" ht="15">
      <c r="D15">
        <v>3</v>
      </c>
      <c r="E15">
        <v>5</v>
      </c>
      <c r="H15">
        <v>3</v>
      </c>
      <c r="J15" t="s">
        <v>5623</v>
      </c>
      <c r="K15" t="s">
        <v>5640</v>
      </c>
    </row>
    <row r="16" spans="4:11" ht="15">
      <c r="D16">
        <v>4</v>
      </c>
      <c r="E16">
        <v>6</v>
      </c>
      <c r="H16">
        <v>4</v>
      </c>
      <c r="J16" t="s">
        <v>5624</v>
      </c>
      <c r="K16" t="s">
        <v>5641</v>
      </c>
    </row>
    <row r="17" spans="4:11" ht="15">
      <c r="D17">
        <v>5</v>
      </c>
      <c r="E17">
        <v>7</v>
      </c>
      <c r="H17">
        <v>5</v>
      </c>
      <c r="J17" t="s">
        <v>5625</v>
      </c>
      <c r="K17" t="s">
        <v>5642</v>
      </c>
    </row>
    <row r="18" spans="4:11" ht="15">
      <c r="D18">
        <v>6</v>
      </c>
      <c r="E18">
        <v>8</v>
      </c>
      <c r="H18">
        <v>6</v>
      </c>
      <c r="J18" t="s">
        <v>5626</v>
      </c>
      <c r="K18" t="s">
        <v>5643</v>
      </c>
    </row>
    <row r="19" spans="4:11" ht="15">
      <c r="D19">
        <v>7</v>
      </c>
      <c r="E19">
        <v>9</v>
      </c>
      <c r="H19">
        <v>7</v>
      </c>
      <c r="J19" t="s">
        <v>5627</v>
      </c>
      <c r="K19" t="s">
        <v>5644</v>
      </c>
    </row>
    <row r="20" spans="4:11" ht="15">
      <c r="D20">
        <v>8</v>
      </c>
      <c r="H20">
        <v>8</v>
      </c>
      <c r="J20" t="s">
        <v>5628</v>
      </c>
      <c r="K20" t="s">
        <v>5645</v>
      </c>
    </row>
    <row r="21" spans="4:11" ht="15">
      <c r="D21">
        <v>9</v>
      </c>
      <c r="H21">
        <v>9</v>
      </c>
      <c r="J21" t="s">
        <v>5629</v>
      </c>
      <c r="K21" t="s">
        <v>5646</v>
      </c>
    </row>
    <row r="22" spans="4:11" ht="409.5">
      <c r="D22">
        <v>10</v>
      </c>
      <c r="J22" t="s">
        <v>5630</v>
      </c>
      <c r="K22" s="13" t="s">
        <v>5647</v>
      </c>
    </row>
    <row r="23" spans="4:11" ht="409.5">
      <c r="D23">
        <v>11</v>
      </c>
      <c r="J23" t="s">
        <v>5631</v>
      </c>
      <c r="K23" s="13" t="s">
        <v>5648</v>
      </c>
    </row>
    <row r="24" spans="10:11" ht="409.5">
      <c r="J24" t="s">
        <v>5632</v>
      </c>
      <c r="K24" s="13" t="s">
        <v>5649</v>
      </c>
    </row>
    <row r="25" spans="10:11" ht="409.5">
      <c r="J25" t="s">
        <v>5633</v>
      </c>
      <c r="K25" s="103" t="s">
        <v>5651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CF859CE-08E0-45B5-B2C1-BA9A9BD7EE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2021-09-14T22:06:26Z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